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4920" windowWidth="1980" windowHeight="4950" tabRatio="931"/>
  </bookViews>
  <sheets>
    <sheet name="Current Account 09-10" sheetId="3" r:id="rId1"/>
    <sheet name="Erg Charging" sheetId="1" r:id="rId2"/>
    <sheet name="Subs + JCR Contribution" sheetId="7" r:id="rId3"/>
    <sheet name="Money Owed By Students" sheetId="12" r:id="rId4"/>
    <sheet name="Treasurer" sheetId="10" r:id="rId5"/>
    <sheet name="Secretary" sheetId="11" r:id="rId6"/>
    <sheet name="Rack Hire" sheetId="8" r:id="rId7"/>
    <sheet name="IS T1" sheetId="21" r:id="rId8"/>
    <sheet name="IS T2" sheetId="13" r:id="rId9"/>
    <sheet name="IS T3" sheetId="14" r:id="rId10"/>
    <sheet name="IS FY" sheetId="5" r:id="rId11"/>
    <sheet name="Budget" sheetId="9" r:id="rId12"/>
    <sheet name="Mens Captains Budget" sheetId="19" r:id="rId13"/>
    <sheet name="Womens Captains Budget" sheetId="20" r:id="rId14"/>
    <sheet name="Training Camp Budget" sheetId="18" r:id="rId15"/>
    <sheet name="Insurance Schedule" sheetId="17" r:id="rId16"/>
  </sheets>
  <definedNames>
    <definedName name="_xlnm._FilterDatabase" localSheetId="0" hidden="1">'Current Account 09-10'!$A$2:$AD$239</definedName>
    <definedName name="_xlnm._FilterDatabase" localSheetId="3" hidden="1">'Money Owed By Students'!$A$2:$H$127</definedName>
    <definedName name="_xlnm._FilterDatabase" localSheetId="2" hidden="1">'Subs + JCR Contribution'!$A$13:$S$13</definedName>
  </definedNames>
  <calcPr calcId="125725"/>
</workbook>
</file>

<file path=xl/calcChain.xml><?xml version="1.0" encoding="utf-8"?>
<calcChain xmlns="http://schemas.openxmlformats.org/spreadsheetml/2006/main">
  <c r="F65" i="17"/>
  <c r="AC57" i="3"/>
  <c r="AC96"/>
  <c r="H55"/>
  <c r="H56" s="1"/>
  <c r="H57" s="1"/>
  <c r="H58" s="1"/>
  <c r="H59" s="1"/>
  <c r="H60" s="1"/>
  <c r="H61" s="1"/>
  <c r="H62" s="1"/>
  <c r="H63" s="1"/>
  <c r="H64" s="1"/>
  <c r="H65" s="1"/>
  <c r="H66" s="1"/>
  <c r="H67" s="1"/>
  <c r="H68" s="1"/>
  <c r="H69" s="1"/>
  <c r="H70" s="1"/>
  <c r="H71" s="1"/>
  <c r="H72" s="1"/>
  <c r="H73" s="1"/>
  <c r="H74" s="1"/>
  <c r="H75" s="1"/>
  <c r="H76" s="1"/>
  <c r="H77" s="1"/>
  <c r="H78" s="1"/>
  <c r="H79" s="1"/>
  <c r="H80" s="1"/>
  <c r="H81" s="1"/>
  <c r="H82" s="1"/>
  <c r="H83" s="1"/>
  <c r="H84" s="1"/>
  <c r="H85" s="1"/>
  <c r="H86" s="1"/>
  <c r="H87" s="1"/>
  <c r="H88" s="1"/>
  <c r="H89" s="1"/>
  <c r="H90" s="1"/>
  <c r="H91" s="1"/>
  <c r="H92" s="1"/>
  <c r="H93" s="1"/>
  <c r="H94" s="1"/>
  <c r="H95" s="1"/>
  <c r="H96" s="1"/>
  <c r="H97" s="1"/>
  <c r="H98" s="1"/>
  <c r="H99" s="1"/>
  <c r="H100" s="1"/>
  <c r="H101" s="1"/>
  <c r="H102" s="1"/>
  <c r="H103" s="1"/>
  <c r="H104" s="1"/>
  <c r="H105" s="1"/>
  <c r="H106" s="1"/>
  <c r="H107" s="1"/>
  <c r="H108" s="1"/>
  <c r="H109" s="1"/>
  <c r="H110" s="1"/>
  <c r="H111" s="1"/>
  <c r="H112" s="1"/>
  <c r="H113" s="1"/>
  <c r="H114" s="1"/>
  <c r="H115" s="1"/>
  <c r="H116" s="1"/>
  <c r="H117" s="1"/>
  <c r="H118" s="1"/>
  <c r="H119" s="1"/>
  <c r="H120" s="1"/>
  <c r="H121" s="1"/>
  <c r="H122" s="1"/>
  <c r="H123" s="1"/>
  <c r="H124" s="1"/>
  <c r="H125" s="1"/>
  <c r="H126" s="1"/>
  <c r="H127" s="1"/>
  <c r="H128" s="1"/>
  <c r="H129" s="1"/>
  <c r="H130" s="1"/>
  <c r="H131" s="1"/>
  <c r="H132" s="1"/>
  <c r="H133" s="1"/>
  <c r="H134" s="1"/>
  <c r="H135" s="1"/>
  <c r="H136" s="1"/>
  <c r="H137" s="1"/>
  <c r="H138" s="1"/>
  <c r="H139" s="1"/>
  <c r="F321" i="1"/>
  <c r="AC5" i="3"/>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H4"/>
  <c r="H5" s="1"/>
  <c r="H6" s="1"/>
  <c r="H7" s="1"/>
  <c r="H8" s="1"/>
  <c r="H9" s="1"/>
  <c r="H10" s="1"/>
  <c r="H11" s="1"/>
  <c r="H12" s="1"/>
  <c r="H13" s="1"/>
  <c r="H14" s="1"/>
  <c r="H15" s="1"/>
  <c r="H16" s="1"/>
  <c r="H17" s="1"/>
  <c r="H18" s="1"/>
  <c r="H19" s="1"/>
  <c r="H20" s="1"/>
  <c r="T241"/>
  <c r="H21" l="1"/>
  <c r="H22" s="1"/>
  <c r="B14" i="7"/>
  <c r="E14"/>
  <c r="H14"/>
  <c r="L14"/>
  <c r="P14"/>
  <c r="B15"/>
  <c r="E15"/>
  <c r="H15"/>
  <c r="L15"/>
  <c r="P15"/>
  <c r="B16"/>
  <c r="E16"/>
  <c r="H16"/>
  <c r="L16"/>
  <c r="P16"/>
  <c r="B17"/>
  <c r="E17"/>
  <c r="H17"/>
  <c r="L17"/>
  <c r="P17"/>
  <c r="B18"/>
  <c r="E18"/>
  <c r="H18"/>
  <c r="L18"/>
  <c r="P18"/>
  <c r="B19"/>
  <c r="E19"/>
  <c r="H19"/>
  <c r="L19"/>
  <c r="P19"/>
  <c r="B20"/>
  <c r="E20"/>
  <c r="H20"/>
  <c r="L20"/>
  <c r="P20"/>
  <c r="B21"/>
  <c r="E21"/>
  <c r="H21"/>
  <c r="L21"/>
  <c r="P21"/>
  <c r="B22"/>
  <c r="E22"/>
  <c r="H22"/>
  <c r="L22"/>
  <c r="P22"/>
  <c r="B23"/>
  <c r="E23"/>
  <c r="H23"/>
  <c r="L23"/>
  <c r="P23"/>
  <c r="B24"/>
  <c r="E24"/>
  <c r="H24"/>
  <c r="L24"/>
  <c r="P24"/>
  <c r="B25"/>
  <c r="E25"/>
  <c r="H25"/>
  <c r="L25"/>
  <c r="P25"/>
  <c r="B26"/>
  <c r="E26"/>
  <c r="H26"/>
  <c r="L26"/>
  <c r="P26"/>
  <c r="B27"/>
  <c r="E27"/>
  <c r="H27"/>
  <c r="L27"/>
  <c r="P27"/>
  <c r="B28"/>
  <c r="E28"/>
  <c r="H28"/>
  <c r="L28"/>
  <c r="P28"/>
  <c r="B29"/>
  <c r="E29"/>
  <c r="H29"/>
  <c r="L29"/>
  <c r="P29"/>
  <c r="B30"/>
  <c r="E30"/>
  <c r="H30"/>
  <c r="L30"/>
  <c r="P30"/>
  <c r="B31"/>
  <c r="E31"/>
  <c r="H31"/>
  <c r="L31"/>
  <c r="P31"/>
  <c r="B32"/>
  <c r="E32"/>
  <c r="H32"/>
  <c r="L32"/>
  <c r="P32"/>
  <c r="B33"/>
  <c r="E33"/>
  <c r="H33"/>
  <c r="L33"/>
  <c r="P33"/>
  <c r="B34"/>
  <c r="E34"/>
  <c r="H34"/>
  <c r="L34"/>
  <c r="P34"/>
  <c r="B35"/>
  <c r="E35"/>
  <c r="H35"/>
  <c r="L35"/>
  <c r="P35"/>
  <c r="B36"/>
  <c r="E36"/>
  <c r="H36"/>
  <c r="L36"/>
  <c r="P36"/>
  <c r="B37"/>
  <c r="E37"/>
  <c r="H37"/>
  <c r="L37"/>
  <c r="P37"/>
  <c r="B38"/>
  <c r="E38"/>
  <c r="H38"/>
  <c r="L38"/>
  <c r="P38"/>
  <c r="B39"/>
  <c r="E39"/>
  <c r="H39"/>
  <c r="L39"/>
  <c r="P39"/>
  <c r="B40"/>
  <c r="E40"/>
  <c r="H40"/>
  <c r="L40"/>
  <c r="P40"/>
  <c r="B41"/>
  <c r="E41"/>
  <c r="H41"/>
  <c r="L41"/>
  <c r="P41"/>
  <c r="B42"/>
  <c r="E42"/>
  <c r="H42"/>
  <c r="L42"/>
  <c r="P42"/>
  <c r="B43"/>
  <c r="E43"/>
  <c r="H43"/>
  <c r="L43"/>
  <c r="P43"/>
  <c r="B44"/>
  <c r="E44"/>
  <c r="H44"/>
  <c r="L44"/>
  <c r="P44"/>
  <c r="B45"/>
  <c r="E45"/>
  <c r="H45"/>
  <c r="L45"/>
  <c r="P45"/>
  <c r="B46"/>
  <c r="E46"/>
  <c r="H46"/>
  <c r="L46"/>
  <c r="P46"/>
  <c r="B47"/>
  <c r="E47"/>
  <c r="H47"/>
  <c r="L47"/>
  <c r="P47"/>
  <c r="B48"/>
  <c r="E48"/>
  <c r="H48"/>
  <c r="L48"/>
  <c r="P48"/>
  <c r="B49"/>
  <c r="E49"/>
  <c r="H49"/>
  <c r="L49"/>
  <c r="P49"/>
  <c r="B50"/>
  <c r="E50"/>
  <c r="H50"/>
  <c r="L50"/>
  <c r="P50"/>
  <c r="B51"/>
  <c r="E51"/>
  <c r="H51"/>
  <c r="L51"/>
  <c r="P51"/>
  <c r="B52"/>
  <c r="E52"/>
  <c r="H52"/>
  <c r="L52"/>
  <c r="P52"/>
  <c r="B53"/>
  <c r="E53"/>
  <c r="H53"/>
  <c r="L53"/>
  <c r="P53"/>
  <c r="B54"/>
  <c r="E54"/>
  <c r="H54"/>
  <c r="L54"/>
  <c r="P54"/>
  <c r="B55"/>
  <c r="E55"/>
  <c r="H55"/>
  <c r="L55"/>
  <c r="P55"/>
  <c r="B56"/>
  <c r="E56"/>
  <c r="H56"/>
  <c r="L56"/>
  <c r="P56"/>
  <c r="B57"/>
  <c r="E57"/>
  <c r="H57"/>
  <c r="L57"/>
  <c r="P57"/>
  <c r="B58"/>
  <c r="E58"/>
  <c r="H58"/>
  <c r="L58"/>
  <c r="P58"/>
  <c r="B59"/>
  <c r="E59"/>
  <c r="H59"/>
  <c r="L59"/>
  <c r="P59"/>
  <c r="B60"/>
  <c r="E60"/>
  <c r="H60"/>
  <c r="L60"/>
  <c r="P60"/>
  <c r="B61"/>
  <c r="E61"/>
  <c r="H61"/>
  <c r="L61"/>
  <c r="P61"/>
  <c r="B62"/>
  <c r="E62"/>
  <c r="H62"/>
  <c r="L62"/>
  <c r="P62"/>
  <c r="B63"/>
  <c r="E63"/>
  <c r="H63"/>
  <c r="L63"/>
  <c r="P63"/>
  <c r="B64"/>
  <c r="E64"/>
  <c r="H64"/>
  <c r="L64"/>
  <c r="P64"/>
  <c r="H65"/>
  <c r="L65"/>
  <c r="P65"/>
  <c r="H66"/>
  <c r="L66"/>
  <c r="P66"/>
  <c r="H67"/>
  <c r="L67"/>
  <c r="P67"/>
  <c r="H68"/>
  <c r="L68"/>
  <c r="H69"/>
  <c r="L69"/>
  <c r="H70"/>
  <c r="L70"/>
  <c r="H71"/>
  <c r="H72"/>
  <c r="H73"/>
  <c r="H74"/>
  <c r="H75"/>
  <c r="H76"/>
  <c r="H77"/>
  <c r="H78"/>
  <c r="H79"/>
  <c r="H80"/>
  <c r="H81"/>
  <c r="F12" i="1"/>
  <c r="I12" s="1"/>
  <c r="J12"/>
  <c r="K12"/>
  <c r="L12"/>
  <c r="M12"/>
  <c r="N12"/>
  <c r="O12"/>
  <c r="P12"/>
  <c r="Q12"/>
  <c r="R12"/>
  <c r="F13"/>
  <c r="I13" s="1"/>
  <c r="J13"/>
  <c r="K13"/>
  <c r="L13"/>
  <c r="M13"/>
  <c r="N13"/>
  <c r="O13"/>
  <c r="P13"/>
  <c r="Q13"/>
  <c r="R13"/>
  <c r="F14"/>
  <c r="J14" s="1"/>
  <c r="I14"/>
  <c r="K14"/>
  <c r="L14"/>
  <c r="M14"/>
  <c r="N14"/>
  <c r="O14"/>
  <c r="P14"/>
  <c r="Q14"/>
  <c r="R14"/>
  <c r="F15"/>
  <c r="J15" s="1"/>
  <c r="I15"/>
  <c r="K15"/>
  <c r="L15"/>
  <c r="M15"/>
  <c r="N15"/>
  <c r="O15"/>
  <c r="P15"/>
  <c r="Q15"/>
  <c r="R15"/>
  <c r="F16"/>
  <c r="J16" s="1"/>
  <c r="I16"/>
  <c r="K16"/>
  <c r="L16"/>
  <c r="M16"/>
  <c r="N16"/>
  <c r="O16"/>
  <c r="P16"/>
  <c r="Q16"/>
  <c r="R16"/>
  <c r="F17"/>
  <c r="J17" s="1"/>
  <c r="I17"/>
  <c r="K17"/>
  <c r="L17"/>
  <c r="M17"/>
  <c r="N17"/>
  <c r="O17"/>
  <c r="P17"/>
  <c r="Q17"/>
  <c r="R17"/>
  <c r="F18"/>
  <c r="J18" s="1"/>
  <c r="I18"/>
  <c r="K18"/>
  <c r="L18"/>
  <c r="M18"/>
  <c r="N18"/>
  <c r="O18"/>
  <c r="P18"/>
  <c r="Q18"/>
  <c r="R18"/>
  <c r="F19"/>
  <c r="J19" s="1"/>
  <c r="I19"/>
  <c r="K19"/>
  <c r="L19"/>
  <c r="M19"/>
  <c r="N19"/>
  <c r="O19"/>
  <c r="P19"/>
  <c r="Q19"/>
  <c r="R19"/>
  <c r="F20"/>
  <c r="J20" s="1"/>
  <c r="I20"/>
  <c r="K20"/>
  <c r="L20"/>
  <c r="M20"/>
  <c r="N20"/>
  <c r="O20"/>
  <c r="P20"/>
  <c r="Q20"/>
  <c r="R20"/>
  <c r="F21"/>
  <c r="J21" s="1"/>
  <c r="I21"/>
  <c r="K21"/>
  <c r="L21"/>
  <c r="M21"/>
  <c r="N21"/>
  <c r="O21"/>
  <c r="P21"/>
  <c r="Q21"/>
  <c r="R21"/>
  <c r="F22"/>
  <c r="J22" s="1"/>
  <c r="I22"/>
  <c r="K22"/>
  <c r="L22"/>
  <c r="M22"/>
  <c r="N22"/>
  <c r="O22"/>
  <c r="P22"/>
  <c r="Q22"/>
  <c r="R22"/>
  <c r="F23"/>
  <c r="J23" s="1"/>
  <c r="I23"/>
  <c r="K23"/>
  <c r="L23"/>
  <c r="M23"/>
  <c r="N23"/>
  <c r="O23"/>
  <c r="P23"/>
  <c r="Q23"/>
  <c r="R23"/>
  <c r="F24"/>
  <c r="J24" s="1"/>
  <c r="I24"/>
  <c r="K24"/>
  <c r="L24"/>
  <c r="M24"/>
  <c r="N24"/>
  <c r="O24"/>
  <c r="P24"/>
  <c r="Q24"/>
  <c r="R24"/>
  <c r="F25"/>
  <c r="J25" s="1"/>
  <c r="I25"/>
  <c r="K25"/>
  <c r="L25"/>
  <c r="M25"/>
  <c r="N25"/>
  <c r="O25"/>
  <c r="P25"/>
  <c r="Q25"/>
  <c r="R25"/>
  <c r="F26"/>
  <c r="J26" s="1"/>
  <c r="I26"/>
  <c r="K26"/>
  <c r="L26"/>
  <c r="M26"/>
  <c r="N26"/>
  <c r="O26"/>
  <c r="P26"/>
  <c r="Q26"/>
  <c r="R26"/>
  <c r="F27"/>
  <c r="J27" s="1"/>
  <c r="I27"/>
  <c r="K27"/>
  <c r="L27"/>
  <c r="M27"/>
  <c r="N27"/>
  <c r="O27"/>
  <c r="P27"/>
  <c r="Q27"/>
  <c r="R27"/>
  <c r="F28"/>
  <c r="J28" s="1"/>
  <c r="I28"/>
  <c r="K28"/>
  <c r="L28"/>
  <c r="M28"/>
  <c r="N28"/>
  <c r="O28"/>
  <c r="P28"/>
  <c r="Q28"/>
  <c r="R28"/>
  <c r="F29"/>
  <c r="J29" s="1"/>
  <c r="I29"/>
  <c r="K29"/>
  <c r="L29"/>
  <c r="M29"/>
  <c r="N29"/>
  <c r="O29"/>
  <c r="P29"/>
  <c r="Q29"/>
  <c r="R29"/>
  <c r="F30"/>
  <c r="J30" s="1"/>
  <c r="I30"/>
  <c r="K30"/>
  <c r="L30"/>
  <c r="M30"/>
  <c r="N30"/>
  <c r="O30"/>
  <c r="P30"/>
  <c r="Q30"/>
  <c r="R30"/>
  <c r="F31"/>
  <c r="J31" s="1"/>
  <c r="I31"/>
  <c r="K31"/>
  <c r="L31"/>
  <c r="M31"/>
  <c r="N31"/>
  <c r="O31"/>
  <c r="P31"/>
  <c r="Q31"/>
  <c r="R31"/>
  <c r="F32"/>
  <c r="J32" s="1"/>
  <c r="I32"/>
  <c r="K32"/>
  <c r="L32"/>
  <c r="M32"/>
  <c r="N32"/>
  <c r="O32"/>
  <c r="P32"/>
  <c r="Q32"/>
  <c r="R32"/>
  <c r="F33"/>
  <c r="J33" s="1"/>
  <c r="I33"/>
  <c r="K33"/>
  <c r="L33"/>
  <c r="M33"/>
  <c r="N33"/>
  <c r="O33"/>
  <c r="P33"/>
  <c r="Q33"/>
  <c r="R33"/>
  <c r="F34"/>
  <c r="J34" s="1"/>
  <c r="I34"/>
  <c r="K34"/>
  <c r="L34"/>
  <c r="M34"/>
  <c r="N34"/>
  <c r="O34"/>
  <c r="P34"/>
  <c r="Q34"/>
  <c r="R34"/>
  <c r="F35"/>
  <c r="J35" s="1"/>
  <c r="I35"/>
  <c r="K35"/>
  <c r="L35"/>
  <c r="M35"/>
  <c r="N35"/>
  <c r="O35"/>
  <c r="P35"/>
  <c r="Q35"/>
  <c r="R35"/>
  <c r="F36"/>
  <c r="I36" s="1"/>
  <c r="J36"/>
  <c r="K36"/>
  <c r="L36"/>
  <c r="M36"/>
  <c r="N36"/>
  <c r="O36"/>
  <c r="P36"/>
  <c r="Q36"/>
  <c r="R36"/>
  <c r="F37"/>
  <c r="J37" s="1"/>
  <c r="I37"/>
  <c r="K37"/>
  <c r="L37"/>
  <c r="M37"/>
  <c r="N37"/>
  <c r="O37"/>
  <c r="P37"/>
  <c r="Q37"/>
  <c r="R37"/>
  <c r="F38"/>
  <c r="K38" s="1"/>
  <c r="I38"/>
  <c r="J38"/>
  <c r="L38"/>
  <c r="M38"/>
  <c r="N38"/>
  <c r="O38"/>
  <c r="P38"/>
  <c r="Q38"/>
  <c r="R38"/>
  <c r="F39"/>
  <c r="J39" s="1"/>
  <c r="I39"/>
  <c r="K39"/>
  <c r="L39"/>
  <c r="M39"/>
  <c r="N39"/>
  <c r="O39"/>
  <c r="P39"/>
  <c r="Q39"/>
  <c r="R39"/>
  <c r="F40"/>
  <c r="J40" s="1"/>
  <c r="I40"/>
  <c r="K40"/>
  <c r="L40"/>
  <c r="M40"/>
  <c r="N40"/>
  <c r="O40"/>
  <c r="P40"/>
  <c r="Q40"/>
  <c r="R40"/>
  <c r="F41"/>
  <c r="K41" s="1"/>
  <c r="I41"/>
  <c r="J41"/>
  <c r="L41"/>
  <c r="M41"/>
  <c r="N41"/>
  <c r="O41"/>
  <c r="P41"/>
  <c r="Q41"/>
  <c r="R41"/>
  <c r="F42"/>
  <c r="I42"/>
  <c r="J42"/>
  <c r="K42"/>
  <c r="L42"/>
  <c r="M42"/>
  <c r="N42"/>
  <c r="O42"/>
  <c r="P42"/>
  <c r="Q42"/>
  <c r="R42"/>
  <c r="F43"/>
  <c r="I43"/>
  <c r="J43"/>
  <c r="K43"/>
  <c r="L43"/>
  <c r="M43"/>
  <c r="N43"/>
  <c r="O43"/>
  <c r="P43"/>
  <c r="Q43"/>
  <c r="R43"/>
  <c r="F44"/>
  <c r="J44" s="1"/>
  <c r="I44"/>
  <c r="K44"/>
  <c r="L44"/>
  <c r="M44"/>
  <c r="N44"/>
  <c r="O44"/>
  <c r="P44"/>
  <c r="Q44"/>
  <c r="R44"/>
  <c r="F45"/>
  <c r="K45" s="1"/>
  <c r="I45"/>
  <c r="J45"/>
  <c r="L45"/>
  <c r="M45"/>
  <c r="N45"/>
  <c r="O45"/>
  <c r="P45"/>
  <c r="Q45"/>
  <c r="R45"/>
  <c r="F46"/>
  <c r="I46"/>
  <c r="J46"/>
  <c r="K46"/>
  <c r="L46"/>
  <c r="M46"/>
  <c r="N46"/>
  <c r="O46"/>
  <c r="P46"/>
  <c r="Q46"/>
  <c r="R46"/>
  <c r="F47"/>
  <c r="I47" s="1"/>
  <c r="J47"/>
  <c r="K47"/>
  <c r="L47"/>
  <c r="M47"/>
  <c r="N47"/>
  <c r="O47"/>
  <c r="P47"/>
  <c r="Q47"/>
  <c r="R47"/>
  <c r="F48"/>
  <c r="J48" s="1"/>
  <c r="I48"/>
  <c r="K48"/>
  <c r="L48"/>
  <c r="M48"/>
  <c r="N48"/>
  <c r="O48"/>
  <c r="P48"/>
  <c r="Q48"/>
  <c r="R48"/>
  <c r="F49"/>
  <c r="I49"/>
  <c r="J49"/>
  <c r="K49"/>
  <c r="L49"/>
  <c r="M49"/>
  <c r="N49"/>
  <c r="O49"/>
  <c r="P49"/>
  <c r="Q49"/>
  <c r="R49"/>
  <c r="F50"/>
  <c r="K50" s="1"/>
  <c r="I50"/>
  <c r="J50"/>
  <c r="L50"/>
  <c r="M50"/>
  <c r="N50"/>
  <c r="O50"/>
  <c r="P50"/>
  <c r="Q50"/>
  <c r="R50"/>
  <c r="F51"/>
  <c r="J51" s="1"/>
  <c r="I51"/>
  <c r="K51"/>
  <c r="L51"/>
  <c r="M51"/>
  <c r="N51"/>
  <c r="O51"/>
  <c r="P51"/>
  <c r="Q51"/>
  <c r="R51"/>
  <c r="F52"/>
  <c r="I52" s="1"/>
  <c r="J52"/>
  <c r="K52"/>
  <c r="L52"/>
  <c r="M52"/>
  <c r="N52"/>
  <c r="O52"/>
  <c r="P52"/>
  <c r="Q52"/>
  <c r="R52"/>
  <c r="F53"/>
  <c r="K53" s="1"/>
  <c r="I53"/>
  <c r="J53"/>
  <c r="L53"/>
  <c r="M53"/>
  <c r="N53"/>
  <c r="O53"/>
  <c r="P53"/>
  <c r="Q53"/>
  <c r="R53"/>
  <c r="F54"/>
  <c r="K54" s="1"/>
  <c r="I54"/>
  <c r="J54"/>
  <c r="L54"/>
  <c r="M54"/>
  <c r="N54"/>
  <c r="O54"/>
  <c r="P54"/>
  <c r="Q54"/>
  <c r="R54"/>
  <c r="F55"/>
  <c r="J55" s="1"/>
  <c r="I55"/>
  <c r="K55"/>
  <c r="L55"/>
  <c r="M55"/>
  <c r="N55"/>
  <c r="O55"/>
  <c r="P55"/>
  <c r="Q55"/>
  <c r="R55"/>
  <c r="F56"/>
  <c r="J56" s="1"/>
  <c r="I56"/>
  <c r="K56"/>
  <c r="L56"/>
  <c r="M56"/>
  <c r="N56"/>
  <c r="O56"/>
  <c r="P56"/>
  <c r="Q56"/>
  <c r="R56"/>
  <c r="F57"/>
  <c r="K57" s="1"/>
  <c r="I57"/>
  <c r="J57"/>
  <c r="L57"/>
  <c r="M57"/>
  <c r="N57"/>
  <c r="O57"/>
  <c r="P57"/>
  <c r="Q57"/>
  <c r="R57"/>
  <c r="F58"/>
  <c r="I58"/>
  <c r="J58"/>
  <c r="K58"/>
  <c r="L58"/>
  <c r="M58"/>
  <c r="N58"/>
  <c r="O58"/>
  <c r="P58"/>
  <c r="Q58"/>
  <c r="R58"/>
  <c r="F59"/>
  <c r="J59" s="1"/>
  <c r="I59"/>
  <c r="K59"/>
  <c r="L59"/>
  <c r="M59"/>
  <c r="N59"/>
  <c r="O59"/>
  <c r="P59"/>
  <c r="Q59"/>
  <c r="R59"/>
  <c r="F60"/>
  <c r="I60" s="1"/>
  <c r="J60"/>
  <c r="K60"/>
  <c r="L60"/>
  <c r="M60"/>
  <c r="N60"/>
  <c r="O60"/>
  <c r="P60"/>
  <c r="Q60"/>
  <c r="R60"/>
  <c r="F61"/>
  <c r="K61" s="1"/>
  <c r="I61"/>
  <c r="J61"/>
  <c r="L61"/>
  <c r="M61"/>
  <c r="N61"/>
  <c r="O61"/>
  <c r="P61"/>
  <c r="Q61"/>
  <c r="R61"/>
  <c r="F62"/>
  <c r="I62"/>
  <c r="J62"/>
  <c r="K62"/>
  <c r="L62"/>
  <c r="M62"/>
  <c r="N62"/>
  <c r="O62"/>
  <c r="P62"/>
  <c r="Q62"/>
  <c r="R62"/>
  <c r="F63"/>
  <c r="K63" s="1"/>
  <c r="I63"/>
  <c r="J63"/>
  <c r="L63"/>
  <c r="M63"/>
  <c r="N63"/>
  <c r="O63"/>
  <c r="P63"/>
  <c r="Q63"/>
  <c r="R63"/>
  <c r="F64"/>
  <c r="K64" s="1"/>
  <c r="I64"/>
  <c r="J64"/>
  <c r="L64"/>
  <c r="M64"/>
  <c r="N64"/>
  <c r="O64"/>
  <c r="P64"/>
  <c r="Q64"/>
  <c r="R64"/>
  <c r="F65"/>
  <c r="I65" s="1"/>
  <c r="J65"/>
  <c r="K65"/>
  <c r="L65"/>
  <c r="M65"/>
  <c r="N65"/>
  <c r="O65"/>
  <c r="P65"/>
  <c r="Q65"/>
  <c r="R65"/>
  <c r="F66"/>
  <c r="J66" s="1"/>
  <c r="I66"/>
  <c r="K66"/>
  <c r="L66"/>
  <c r="M66"/>
  <c r="N66"/>
  <c r="O66"/>
  <c r="P66"/>
  <c r="Q66"/>
  <c r="R66"/>
  <c r="F67"/>
  <c r="K67" s="1"/>
  <c r="I67"/>
  <c r="J67"/>
  <c r="L67"/>
  <c r="M67"/>
  <c r="N67"/>
  <c r="O67"/>
  <c r="P67"/>
  <c r="Q67"/>
  <c r="R67"/>
  <c r="F68"/>
  <c r="J68" s="1"/>
  <c r="I68"/>
  <c r="K68"/>
  <c r="L68"/>
  <c r="M68"/>
  <c r="N68"/>
  <c r="O68"/>
  <c r="P68"/>
  <c r="Q68"/>
  <c r="R68"/>
  <c r="F69"/>
  <c r="I69" s="1"/>
  <c r="J69"/>
  <c r="K69"/>
  <c r="L69"/>
  <c r="M69"/>
  <c r="N69"/>
  <c r="O69"/>
  <c r="P69"/>
  <c r="Q69"/>
  <c r="R69"/>
  <c r="F70"/>
  <c r="K70" s="1"/>
  <c r="I70"/>
  <c r="J70"/>
  <c r="L70"/>
  <c r="M70"/>
  <c r="N70"/>
  <c r="O70"/>
  <c r="P70"/>
  <c r="Q70"/>
  <c r="R70"/>
  <c r="F71"/>
  <c r="I71"/>
  <c r="J71"/>
  <c r="K71"/>
  <c r="L71"/>
  <c r="M71"/>
  <c r="N71"/>
  <c r="O71"/>
  <c r="P71"/>
  <c r="Q71"/>
  <c r="R71"/>
  <c r="F72"/>
  <c r="J72" s="1"/>
  <c r="I72"/>
  <c r="K72"/>
  <c r="L72"/>
  <c r="M72"/>
  <c r="N72"/>
  <c r="O72"/>
  <c r="P72"/>
  <c r="Q72"/>
  <c r="R72"/>
  <c r="F73"/>
  <c r="K73" s="1"/>
  <c r="I73"/>
  <c r="J73"/>
  <c r="L73"/>
  <c r="M73"/>
  <c r="N73"/>
  <c r="O73"/>
  <c r="P73"/>
  <c r="Q73"/>
  <c r="R73"/>
  <c r="F74"/>
  <c r="J74" s="1"/>
  <c r="I74"/>
  <c r="K74"/>
  <c r="L74"/>
  <c r="M74"/>
  <c r="N74"/>
  <c r="O74"/>
  <c r="P74"/>
  <c r="Q74"/>
  <c r="R74"/>
  <c r="F75"/>
  <c r="I75" s="1"/>
  <c r="J75"/>
  <c r="K75"/>
  <c r="L75"/>
  <c r="M75"/>
  <c r="N75"/>
  <c r="O75"/>
  <c r="P75"/>
  <c r="Q75"/>
  <c r="R75"/>
  <c r="F76"/>
  <c r="J76" s="1"/>
  <c r="I76"/>
  <c r="K76"/>
  <c r="L76"/>
  <c r="M76"/>
  <c r="N76"/>
  <c r="O76"/>
  <c r="P76"/>
  <c r="Q76"/>
  <c r="R76"/>
  <c r="F77"/>
  <c r="J77" s="1"/>
  <c r="I77"/>
  <c r="K77"/>
  <c r="L77"/>
  <c r="M77"/>
  <c r="N77"/>
  <c r="O77"/>
  <c r="P77"/>
  <c r="Q77"/>
  <c r="R77"/>
  <c r="F78"/>
  <c r="I78"/>
  <c r="J78"/>
  <c r="K78"/>
  <c r="L78"/>
  <c r="M78"/>
  <c r="N78"/>
  <c r="O78"/>
  <c r="P78"/>
  <c r="Q78"/>
  <c r="R78"/>
  <c r="F79"/>
  <c r="K79" s="1"/>
  <c r="I79"/>
  <c r="J79"/>
  <c r="L79"/>
  <c r="M79"/>
  <c r="N79"/>
  <c r="O79"/>
  <c r="P79"/>
  <c r="Q79"/>
  <c r="R79"/>
  <c r="F80"/>
  <c r="I80" s="1"/>
  <c r="J80"/>
  <c r="K80"/>
  <c r="L80"/>
  <c r="M80"/>
  <c r="N80"/>
  <c r="O80"/>
  <c r="P80"/>
  <c r="Q80"/>
  <c r="R80"/>
  <c r="F81"/>
  <c r="I81"/>
  <c r="J81"/>
  <c r="K81"/>
  <c r="L81"/>
  <c r="M81"/>
  <c r="N81"/>
  <c r="O81"/>
  <c r="P81"/>
  <c r="Q81"/>
  <c r="R81"/>
  <c r="F82"/>
  <c r="K82" s="1"/>
  <c r="I82"/>
  <c r="J82"/>
  <c r="L82"/>
  <c r="M82"/>
  <c r="N82"/>
  <c r="O82"/>
  <c r="P82"/>
  <c r="Q82"/>
  <c r="R82"/>
  <c r="F83"/>
  <c r="I83" s="1"/>
  <c r="J83"/>
  <c r="K83"/>
  <c r="L83"/>
  <c r="M83"/>
  <c r="N83"/>
  <c r="O83"/>
  <c r="P83"/>
  <c r="Q83"/>
  <c r="R83"/>
  <c r="F84"/>
  <c r="I84"/>
  <c r="J84"/>
  <c r="K84"/>
  <c r="L84"/>
  <c r="M84"/>
  <c r="N84"/>
  <c r="O84"/>
  <c r="P84"/>
  <c r="Q84"/>
  <c r="R84"/>
  <c r="F85"/>
  <c r="K85" s="1"/>
  <c r="I85"/>
  <c r="J85"/>
  <c r="L85"/>
  <c r="M85"/>
  <c r="N85"/>
  <c r="O85"/>
  <c r="P85"/>
  <c r="Q85"/>
  <c r="R85"/>
  <c r="F86"/>
  <c r="I86"/>
  <c r="J86"/>
  <c r="K86"/>
  <c r="L86"/>
  <c r="M86"/>
  <c r="N86"/>
  <c r="O86"/>
  <c r="P86"/>
  <c r="Q86"/>
  <c r="R86"/>
  <c r="F87"/>
  <c r="I87"/>
  <c r="J87"/>
  <c r="K87"/>
  <c r="L87"/>
  <c r="M87"/>
  <c r="N87"/>
  <c r="O87"/>
  <c r="P87"/>
  <c r="Q87"/>
  <c r="R87"/>
  <c r="F88"/>
  <c r="K88" s="1"/>
  <c r="I88"/>
  <c r="J88"/>
  <c r="L88"/>
  <c r="M88"/>
  <c r="N88"/>
  <c r="O88"/>
  <c r="P88"/>
  <c r="Q88"/>
  <c r="R88"/>
  <c r="F89"/>
  <c r="I89"/>
  <c r="J89"/>
  <c r="K89"/>
  <c r="L89"/>
  <c r="M89"/>
  <c r="N89"/>
  <c r="O89"/>
  <c r="P89"/>
  <c r="Q89"/>
  <c r="R89"/>
  <c r="F90"/>
  <c r="I90"/>
  <c r="J90"/>
  <c r="K90"/>
  <c r="L90"/>
  <c r="M90"/>
  <c r="N90"/>
  <c r="O90"/>
  <c r="P90"/>
  <c r="Q90"/>
  <c r="R90"/>
  <c r="F91"/>
  <c r="K91" s="1"/>
  <c r="I91"/>
  <c r="J91"/>
  <c r="L91"/>
  <c r="M91"/>
  <c r="N91"/>
  <c r="O91"/>
  <c r="P91"/>
  <c r="Q91"/>
  <c r="R91"/>
  <c r="F92"/>
  <c r="I92"/>
  <c r="J92"/>
  <c r="K92"/>
  <c r="L92"/>
  <c r="M92"/>
  <c r="N92"/>
  <c r="O92"/>
  <c r="P92"/>
  <c r="Q92"/>
  <c r="R92"/>
  <c r="F93"/>
  <c r="I93" s="1"/>
  <c r="J93"/>
  <c r="K93"/>
  <c r="L93"/>
  <c r="M93"/>
  <c r="N93"/>
  <c r="O93"/>
  <c r="P93"/>
  <c r="Q93"/>
  <c r="R93"/>
  <c r="F94"/>
  <c r="K94" s="1"/>
  <c r="I94"/>
  <c r="J94"/>
  <c r="L94"/>
  <c r="M94"/>
  <c r="N94"/>
  <c r="O94"/>
  <c r="P94"/>
  <c r="Q94"/>
  <c r="R94"/>
  <c r="F95"/>
  <c r="J95" s="1"/>
  <c r="I95"/>
  <c r="K95"/>
  <c r="L95"/>
  <c r="M95"/>
  <c r="N95"/>
  <c r="O95"/>
  <c r="P95"/>
  <c r="Q95"/>
  <c r="R95"/>
  <c r="F96"/>
  <c r="I96" s="1"/>
  <c r="J96"/>
  <c r="K96"/>
  <c r="L96"/>
  <c r="M96"/>
  <c r="N96"/>
  <c r="O96"/>
  <c r="P96"/>
  <c r="Q96"/>
  <c r="R96"/>
  <c r="F97"/>
  <c r="K97" s="1"/>
  <c r="I97"/>
  <c r="J97"/>
  <c r="L97"/>
  <c r="M97"/>
  <c r="N97"/>
  <c r="O97"/>
  <c r="P97"/>
  <c r="Q97"/>
  <c r="R97"/>
  <c r="F98"/>
  <c r="J98" s="1"/>
  <c r="I98"/>
  <c r="K98"/>
  <c r="L98"/>
  <c r="M98"/>
  <c r="N98"/>
  <c r="O98"/>
  <c r="P98"/>
  <c r="Q98"/>
  <c r="R98"/>
  <c r="F99"/>
  <c r="I99"/>
  <c r="J99"/>
  <c r="K99"/>
  <c r="L99"/>
  <c r="M99"/>
  <c r="N99"/>
  <c r="O99"/>
  <c r="P99"/>
  <c r="Q99"/>
  <c r="R99"/>
  <c r="F100"/>
  <c r="J100" s="1"/>
  <c r="I100"/>
  <c r="K100"/>
  <c r="L100"/>
  <c r="M100"/>
  <c r="N100"/>
  <c r="O100"/>
  <c r="P100"/>
  <c r="Q100"/>
  <c r="R100"/>
  <c r="F101"/>
  <c r="I101" s="1"/>
  <c r="J101"/>
  <c r="K101"/>
  <c r="L101"/>
  <c r="M101"/>
  <c r="N101"/>
  <c r="O101"/>
  <c r="P101"/>
  <c r="Q101"/>
  <c r="R101"/>
  <c r="F102"/>
  <c r="I102"/>
  <c r="J102"/>
  <c r="K102"/>
  <c r="L102"/>
  <c r="M102"/>
  <c r="N102"/>
  <c r="O102"/>
  <c r="P102"/>
  <c r="Q102"/>
  <c r="R102"/>
  <c r="F103"/>
  <c r="K103" s="1"/>
  <c r="I103"/>
  <c r="J103"/>
  <c r="L103"/>
  <c r="M103"/>
  <c r="N103"/>
  <c r="O103"/>
  <c r="P103"/>
  <c r="Q103"/>
  <c r="R103"/>
  <c r="F104"/>
  <c r="K104" s="1"/>
  <c r="I104"/>
  <c r="J104"/>
  <c r="L104"/>
  <c r="M104"/>
  <c r="N104"/>
  <c r="O104"/>
  <c r="P104"/>
  <c r="Q104"/>
  <c r="R104"/>
  <c r="F105"/>
  <c r="I105"/>
  <c r="J105"/>
  <c r="K105"/>
  <c r="L105"/>
  <c r="M105"/>
  <c r="N105"/>
  <c r="O105"/>
  <c r="P105"/>
  <c r="Q105"/>
  <c r="R105"/>
  <c r="F106"/>
  <c r="J106" s="1"/>
  <c r="I106"/>
  <c r="K106"/>
  <c r="L106"/>
  <c r="M106"/>
  <c r="N106"/>
  <c r="O106"/>
  <c r="P106"/>
  <c r="Q106"/>
  <c r="R106"/>
  <c r="F107"/>
  <c r="I107"/>
  <c r="J107"/>
  <c r="K107"/>
  <c r="L107"/>
  <c r="M107"/>
  <c r="N107"/>
  <c r="O107"/>
  <c r="P107"/>
  <c r="Q107"/>
  <c r="R107"/>
  <c r="F108"/>
  <c r="J108" s="1"/>
  <c r="I108"/>
  <c r="K108"/>
  <c r="L108"/>
  <c r="M108"/>
  <c r="N108"/>
  <c r="O108"/>
  <c r="P108"/>
  <c r="Q108"/>
  <c r="R108"/>
  <c r="F109"/>
  <c r="I109" s="1"/>
  <c r="J109"/>
  <c r="K109"/>
  <c r="L109"/>
  <c r="M109"/>
  <c r="N109"/>
  <c r="O109"/>
  <c r="P109"/>
  <c r="Q109"/>
  <c r="R109"/>
  <c r="F110"/>
  <c r="K110" s="1"/>
  <c r="I110"/>
  <c r="J110"/>
  <c r="L110"/>
  <c r="M110"/>
  <c r="N110"/>
  <c r="O110"/>
  <c r="P110"/>
  <c r="Q110"/>
  <c r="R110"/>
  <c r="F111"/>
  <c r="I111"/>
  <c r="J111"/>
  <c r="K111"/>
  <c r="L111"/>
  <c r="M111"/>
  <c r="N111"/>
  <c r="O111"/>
  <c r="P111"/>
  <c r="Q111"/>
  <c r="R111"/>
  <c r="F112"/>
  <c r="J112" s="1"/>
  <c r="I112"/>
  <c r="K112"/>
  <c r="L112"/>
  <c r="M112"/>
  <c r="N112"/>
  <c r="O112"/>
  <c r="P112"/>
  <c r="Q112"/>
  <c r="R112"/>
  <c r="F113"/>
  <c r="K113" s="1"/>
  <c r="I113"/>
  <c r="J113"/>
  <c r="L113"/>
  <c r="M113"/>
  <c r="N113"/>
  <c r="O113"/>
  <c r="P113"/>
  <c r="Q113"/>
  <c r="R113"/>
  <c r="F114"/>
  <c r="I114"/>
  <c r="J114"/>
  <c r="K114"/>
  <c r="L114"/>
  <c r="M114"/>
  <c r="N114"/>
  <c r="O114"/>
  <c r="P114"/>
  <c r="Q114"/>
  <c r="R114"/>
  <c r="F115"/>
  <c r="K115" s="1"/>
  <c r="I115"/>
  <c r="J115"/>
  <c r="L115"/>
  <c r="M115"/>
  <c r="N115"/>
  <c r="O115"/>
  <c r="P115"/>
  <c r="Q115"/>
  <c r="R115"/>
  <c r="F116"/>
  <c r="I116"/>
  <c r="J116"/>
  <c r="K116"/>
  <c r="L116"/>
  <c r="M116"/>
  <c r="N116"/>
  <c r="O116"/>
  <c r="P116"/>
  <c r="Q116"/>
  <c r="R116"/>
  <c r="F117"/>
  <c r="K117" s="1"/>
  <c r="I117"/>
  <c r="J117"/>
  <c r="L117"/>
  <c r="M117"/>
  <c r="N117"/>
  <c r="O117"/>
  <c r="P117"/>
  <c r="Q117"/>
  <c r="R117"/>
  <c r="F118"/>
  <c r="K118" s="1"/>
  <c r="I118"/>
  <c r="J118"/>
  <c r="L118"/>
  <c r="M118"/>
  <c r="N118"/>
  <c r="O118"/>
  <c r="P118"/>
  <c r="Q118"/>
  <c r="R118"/>
  <c r="F119"/>
  <c r="I119"/>
  <c r="J119"/>
  <c r="K119"/>
  <c r="L119"/>
  <c r="M119"/>
  <c r="N119"/>
  <c r="O119"/>
  <c r="P119"/>
  <c r="Q119"/>
  <c r="R119"/>
  <c r="F120"/>
  <c r="I120" s="1"/>
  <c r="J120"/>
  <c r="K120"/>
  <c r="L120"/>
  <c r="M120"/>
  <c r="N120"/>
  <c r="O120"/>
  <c r="P120"/>
  <c r="Q120"/>
  <c r="R120"/>
  <c r="F121"/>
  <c r="K121" s="1"/>
  <c r="I121"/>
  <c r="J121"/>
  <c r="L121"/>
  <c r="M121"/>
  <c r="N121"/>
  <c r="O121"/>
  <c r="P121"/>
  <c r="Q121"/>
  <c r="R121"/>
  <c r="F122"/>
  <c r="I122"/>
  <c r="J122"/>
  <c r="K122"/>
  <c r="L122"/>
  <c r="M122"/>
  <c r="N122"/>
  <c r="O122"/>
  <c r="P122"/>
  <c r="Q122"/>
  <c r="R122"/>
  <c r="F123"/>
  <c r="I123"/>
  <c r="J123"/>
  <c r="K123"/>
  <c r="L123"/>
  <c r="M123"/>
  <c r="N123"/>
  <c r="O123"/>
  <c r="P123"/>
  <c r="Q123"/>
  <c r="R123"/>
  <c r="F124"/>
  <c r="K124" s="1"/>
  <c r="I124"/>
  <c r="J124"/>
  <c r="L124"/>
  <c r="M124"/>
  <c r="N124"/>
  <c r="O124"/>
  <c r="P124"/>
  <c r="Q124"/>
  <c r="R124"/>
  <c r="F125"/>
  <c r="J125" s="1"/>
  <c r="I125"/>
  <c r="K125"/>
  <c r="L125"/>
  <c r="M125"/>
  <c r="N125"/>
  <c r="O125"/>
  <c r="P125"/>
  <c r="Q125"/>
  <c r="R125"/>
  <c r="F126"/>
  <c r="I126"/>
  <c r="J126"/>
  <c r="K126"/>
  <c r="L126"/>
  <c r="M126"/>
  <c r="N126"/>
  <c r="O126"/>
  <c r="P126"/>
  <c r="Q126"/>
  <c r="R126"/>
  <c r="F127"/>
  <c r="K127" s="1"/>
  <c r="I127"/>
  <c r="J127"/>
  <c r="L127"/>
  <c r="M127"/>
  <c r="N127"/>
  <c r="O127"/>
  <c r="P127"/>
  <c r="Q127"/>
  <c r="R127"/>
  <c r="F128"/>
  <c r="I128" s="1"/>
  <c r="J128"/>
  <c r="K128"/>
  <c r="L128"/>
  <c r="M128"/>
  <c r="N128"/>
  <c r="O128"/>
  <c r="P128"/>
  <c r="Q128"/>
  <c r="R128"/>
  <c r="F129"/>
  <c r="I129"/>
  <c r="J129"/>
  <c r="K129"/>
  <c r="L129"/>
  <c r="M129"/>
  <c r="N129"/>
  <c r="O129"/>
  <c r="P129"/>
  <c r="Q129"/>
  <c r="R129"/>
  <c r="F130"/>
  <c r="K130" s="1"/>
  <c r="I130"/>
  <c r="J130"/>
  <c r="L130"/>
  <c r="M130"/>
  <c r="N130"/>
  <c r="O130"/>
  <c r="P130"/>
  <c r="Q130"/>
  <c r="R130"/>
  <c r="F131"/>
  <c r="I131" s="1"/>
  <c r="J131"/>
  <c r="K131"/>
  <c r="L131"/>
  <c r="M131"/>
  <c r="N131"/>
  <c r="O131"/>
  <c r="P131"/>
  <c r="Q131"/>
  <c r="R131"/>
  <c r="F132"/>
  <c r="I132" s="1"/>
  <c r="J132"/>
  <c r="K132"/>
  <c r="L132"/>
  <c r="M132"/>
  <c r="N132"/>
  <c r="O132"/>
  <c r="P132"/>
  <c r="Q132"/>
  <c r="R132"/>
  <c r="F133"/>
  <c r="J133" s="1"/>
  <c r="I133"/>
  <c r="K133"/>
  <c r="L133"/>
  <c r="M133"/>
  <c r="N133"/>
  <c r="O133"/>
  <c r="P133"/>
  <c r="Q133"/>
  <c r="R133"/>
  <c r="F134"/>
  <c r="I134"/>
  <c r="J134"/>
  <c r="K134"/>
  <c r="L134"/>
  <c r="M134"/>
  <c r="N134"/>
  <c r="O134"/>
  <c r="P134"/>
  <c r="Q134"/>
  <c r="R134"/>
  <c r="F135"/>
  <c r="I135" s="1"/>
  <c r="J135"/>
  <c r="K135"/>
  <c r="L135"/>
  <c r="M135"/>
  <c r="N135"/>
  <c r="O135"/>
  <c r="P135"/>
  <c r="Q135"/>
  <c r="R135"/>
  <c r="F136"/>
  <c r="I136" s="1"/>
  <c r="J136"/>
  <c r="K136"/>
  <c r="L136"/>
  <c r="M136"/>
  <c r="N136"/>
  <c r="O136"/>
  <c r="P136"/>
  <c r="Q136"/>
  <c r="R136"/>
  <c r="F137"/>
  <c r="J137" s="1"/>
  <c r="I137"/>
  <c r="K137"/>
  <c r="L137"/>
  <c r="M137"/>
  <c r="N137"/>
  <c r="O137"/>
  <c r="P137"/>
  <c r="Q137"/>
  <c r="R137"/>
  <c r="F138"/>
  <c r="I138" s="1"/>
  <c r="J138"/>
  <c r="K138"/>
  <c r="L138"/>
  <c r="M138"/>
  <c r="N138"/>
  <c r="O138"/>
  <c r="P138"/>
  <c r="Q138"/>
  <c r="R138"/>
  <c r="F139"/>
  <c r="J139" s="1"/>
  <c r="I139"/>
  <c r="K139"/>
  <c r="L139"/>
  <c r="M139"/>
  <c r="N139"/>
  <c r="O139"/>
  <c r="P139"/>
  <c r="Q139"/>
  <c r="R139"/>
  <c r="F140"/>
  <c r="I140" s="1"/>
  <c r="J140"/>
  <c r="K140"/>
  <c r="L140"/>
  <c r="M140"/>
  <c r="N140"/>
  <c r="O140"/>
  <c r="P140"/>
  <c r="Q140"/>
  <c r="R140"/>
  <c r="F141"/>
  <c r="I141" s="1"/>
  <c r="J141"/>
  <c r="K141"/>
  <c r="L141"/>
  <c r="M141"/>
  <c r="N141"/>
  <c r="O141"/>
  <c r="P141"/>
  <c r="Q141"/>
  <c r="R141"/>
  <c r="F142"/>
  <c r="I142" s="1"/>
  <c r="J142"/>
  <c r="K142"/>
  <c r="L142"/>
  <c r="M142"/>
  <c r="N142"/>
  <c r="O142"/>
  <c r="P142"/>
  <c r="Q142"/>
  <c r="R142"/>
  <c r="F143"/>
  <c r="J143" s="1"/>
  <c r="I143"/>
  <c r="K143"/>
  <c r="L143"/>
  <c r="M143"/>
  <c r="N143"/>
  <c r="O143"/>
  <c r="P143"/>
  <c r="Q143"/>
  <c r="R143"/>
  <c r="F144"/>
  <c r="I144" s="1"/>
  <c r="J144"/>
  <c r="K144"/>
  <c r="L144"/>
  <c r="M144"/>
  <c r="N144"/>
  <c r="O144"/>
  <c r="P144"/>
  <c r="Q144"/>
  <c r="R144"/>
  <c r="F145"/>
  <c r="I145" s="1"/>
  <c r="J145"/>
  <c r="K145"/>
  <c r="L145"/>
  <c r="M145"/>
  <c r="N145"/>
  <c r="O145"/>
  <c r="P145"/>
  <c r="Q145"/>
  <c r="R145"/>
  <c r="F146"/>
  <c r="I146"/>
  <c r="J146"/>
  <c r="K146"/>
  <c r="L146"/>
  <c r="M146"/>
  <c r="N146"/>
  <c r="O146"/>
  <c r="P146"/>
  <c r="Q146"/>
  <c r="R146"/>
  <c r="F147"/>
  <c r="J147" s="1"/>
  <c r="I147"/>
  <c r="K147"/>
  <c r="L147"/>
  <c r="M147"/>
  <c r="N147"/>
  <c r="O147"/>
  <c r="P147"/>
  <c r="Q147"/>
  <c r="R147"/>
  <c r="F148"/>
  <c r="J148" s="1"/>
  <c r="I148"/>
  <c r="K148"/>
  <c r="L148"/>
  <c r="M148"/>
  <c r="N148"/>
  <c r="O148"/>
  <c r="P148"/>
  <c r="Q148"/>
  <c r="R148"/>
  <c r="F149"/>
  <c r="J149" s="1"/>
  <c r="I149"/>
  <c r="K149"/>
  <c r="L149"/>
  <c r="M149"/>
  <c r="N149"/>
  <c r="O149"/>
  <c r="P149"/>
  <c r="Q149"/>
  <c r="R149"/>
  <c r="F150"/>
  <c r="I150" s="1"/>
  <c r="J150"/>
  <c r="K150"/>
  <c r="L150"/>
  <c r="M150"/>
  <c r="N150"/>
  <c r="O150"/>
  <c r="P150"/>
  <c r="Q150"/>
  <c r="R150"/>
  <c r="F151"/>
  <c r="I151"/>
  <c r="J151"/>
  <c r="K151"/>
  <c r="L151"/>
  <c r="M151"/>
  <c r="N151"/>
  <c r="O151"/>
  <c r="P151"/>
  <c r="Q151"/>
  <c r="R151"/>
  <c r="F152"/>
  <c r="J152" s="1"/>
  <c r="I152"/>
  <c r="K152"/>
  <c r="L152"/>
  <c r="M152"/>
  <c r="N152"/>
  <c r="O152"/>
  <c r="P152"/>
  <c r="Q152"/>
  <c r="R152"/>
  <c r="F153"/>
  <c r="I153"/>
  <c r="J153"/>
  <c r="K153"/>
  <c r="L153"/>
  <c r="M153"/>
  <c r="N153"/>
  <c r="O153"/>
  <c r="P153"/>
  <c r="Q153"/>
  <c r="R153"/>
  <c r="F154"/>
  <c r="I154"/>
  <c r="J154"/>
  <c r="K154"/>
  <c r="L154"/>
  <c r="M154"/>
  <c r="N154"/>
  <c r="O154"/>
  <c r="P154"/>
  <c r="Q154"/>
  <c r="R154"/>
  <c r="F155"/>
  <c r="I155" s="1"/>
  <c r="J155"/>
  <c r="K155"/>
  <c r="L155"/>
  <c r="M155"/>
  <c r="N155"/>
  <c r="O155"/>
  <c r="P155"/>
  <c r="Q155"/>
  <c r="R155"/>
  <c r="F156"/>
  <c r="I156" s="1"/>
  <c r="J156"/>
  <c r="K156"/>
  <c r="L156"/>
  <c r="M156"/>
  <c r="N156"/>
  <c r="O156"/>
  <c r="P156"/>
  <c r="Q156"/>
  <c r="R156"/>
  <c r="F157"/>
  <c r="I157" s="1"/>
  <c r="J157"/>
  <c r="K157"/>
  <c r="L157"/>
  <c r="M157"/>
  <c r="N157"/>
  <c r="O157"/>
  <c r="P157"/>
  <c r="Q157"/>
  <c r="R157"/>
  <c r="F158"/>
  <c r="J158" s="1"/>
  <c r="I158"/>
  <c r="K158"/>
  <c r="L158"/>
  <c r="M158"/>
  <c r="N158"/>
  <c r="O158"/>
  <c r="P158"/>
  <c r="Q158"/>
  <c r="R158"/>
  <c r="F159"/>
  <c r="I159" s="1"/>
  <c r="J159"/>
  <c r="K159"/>
  <c r="L159"/>
  <c r="M159"/>
  <c r="N159"/>
  <c r="O159"/>
  <c r="P159"/>
  <c r="Q159"/>
  <c r="R159"/>
  <c r="F160"/>
  <c r="J160" s="1"/>
  <c r="I160"/>
  <c r="K160"/>
  <c r="L160"/>
  <c r="M160"/>
  <c r="N160"/>
  <c r="O160"/>
  <c r="P160"/>
  <c r="Q160"/>
  <c r="R160"/>
  <c r="F161"/>
  <c r="I161"/>
  <c r="J161"/>
  <c r="K161"/>
  <c r="L161"/>
  <c r="M161"/>
  <c r="N161"/>
  <c r="O161"/>
  <c r="P161"/>
  <c r="Q161"/>
  <c r="R161"/>
  <c r="F162"/>
  <c r="I162"/>
  <c r="J162"/>
  <c r="K162"/>
  <c r="L162"/>
  <c r="M162"/>
  <c r="N162"/>
  <c r="O162"/>
  <c r="P162"/>
  <c r="Q162"/>
  <c r="R162"/>
  <c r="F163"/>
  <c r="I163" s="1"/>
  <c r="J163"/>
  <c r="K163"/>
  <c r="L163"/>
  <c r="M163"/>
  <c r="N163"/>
  <c r="O163"/>
  <c r="P163"/>
  <c r="Q163"/>
  <c r="R163"/>
  <c r="F164"/>
  <c r="J164" s="1"/>
  <c r="I164"/>
  <c r="K164"/>
  <c r="L164"/>
  <c r="M164"/>
  <c r="N164"/>
  <c r="O164"/>
  <c r="P164"/>
  <c r="Q164"/>
  <c r="R164"/>
  <c r="F165"/>
  <c r="J165" s="1"/>
  <c r="I165"/>
  <c r="K165"/>
  <c r="L165"/>
  <c r="M165"/>
  <c r="N165"/>
  <c r="O165"/>
  <c r="P165"/>
  <c r="Q165"/>
  <c r="R165"/>
  <c r="F166"/>
  <c r="I166"/>
  <c r="J166"/>
  <c r="K166"/>
  <c r="L166"/>
  <c r="M166"/>
  <c r="N166"/>
  <c r="O166"/>
  <c r="P166"/>
  <c r="Q166"/>
  <c r="R166"/>
  <c r="F167"/>
  <c r="I167" s="1"/>
  <c r="J167"/>
  <c r="K167"/>
  <c r="L167"/>
  <c r="M167"/>
  <c r="N167"/>
  <c r="O167"/>
  <c r="P167"/>
  <c r="Q167"/>
  <c r="R167"/>
  <c r="F168"/>
  <c r="I168" s="1"/>
  <c r="J168"/>
  <c r="K168"/>
  <c r="L168"/>
  <c r="M168"/>
  <c r="N168"/>
  <c r="O168"/>
  <c r="P168"/>
  <c r="Q168"/>
  <c r="R168"/>
  <c r="F169"/>
  <c r="I169"/>
  <c r="J169"/>
  <c r="K169"/>
  <c r="L169"/>
  <c r="M169"/>
  <c r="N169"/>
  <c r="O169"/>
  <c r="P169"/>
  <c r="Q169"/>
  <c r="R169"/>
  <c r="F170"/>
  <c r="I170" s="1"/>
  <c r="J170"/>
  <c r="K170"/>
  <c r="L170"/>
  <c r="M170"/>
  <c r="N170"/>
  <c r="O170"/>
  <c r="P170"/>
  <c r="Q170"/>
  <c r="R170"/>
  <c r="F171"/>
  <c r="J171" s="1"/>
  <c r="I171"/>
  <c r="K171"/>
  <c r="L171"/>
  <c r="M171"/>
  <c r="N171"/>
  <c r="O171"/>
  <c r="P171"/>
  <c r="Q171"/>
  <c r="R171"/>
  <c r="F172"/>
  <c r="I172" s="1"/>
  <c r="J172"/>
  <c r="K172"/>
  <c r="L172"/>
  <c r="M172"/>
  <c r="N172"/>
  <c r="O172"/>
  <c r="P172"/>
  <c r="Q172"/>
  <c r="R172"/>
  <c r="F173"/>
  <c r="I173" s="1"/>
  <c r="J173"/>
  <c r="K173"/>
  <c r="L173"/>
  <c r="M173"/>
  <c r="N173"/>
  <c r="O173"/>
  <c r="P173"/>
  <c r="Q173"/>
  <c r="R173"/>
  <c r="F174"/>
  <c r="I174" s="1"/>
  <c r="J174"/>
  <c r="K174"/>
  <c r="L174"/>
  <c r="M174"/>
  <c r="N174"/>
  <c r="O174"/>
  <c r="P174"/>
  <c r="Q174"/>
  <c r="R174"/>
  <c r="F175"/>
  <c r="J175" s="1"/>
  <c r="I175"/>
  <c r="K175"/>
  <c r="L175"/>
  <c r="M175"/>
  <c r="N175"/>
  <c r="O175"/>
  <c r="P175"/>
  <c r="Q175"/>
  <c r="R175"/>
  <c r="F176"/>
  <c r="I176" s="1"/>
  <c r="J176"/>
  <c r="K176"/>
  <c r="L176"/>
  <c r="M176"/>
  <c r="N176"/>
  <c r="O176"/>
  <c r="P176"/>
  <c r="Q176"/>
  <c r="R176"/>
  <c r="F177"/>
  <c r="J177" s="1"/>
  <c r="I177"/>
  <c r="K177"/>
  <c r="L177"/>
  <c r="M177"/>
  <c r="N177"/>
  <c r="O177"/>
  <c r="P177"/>
  <c r="Q177"/>
  <c r="R177"/>
  <c r="F178"/>
  <c r="I178"/>
  <c r="J178"/>
  <c r="K178"/>
  <c r="L178"/>
  <c r="M178"/>
  <c r="N178"/>
  <c r="O178"/>
  <c r="P178"/>
  <c r="Q178"/>
  <c r="R178"/>
  <c r="F179"/>
  <c r="I179" s="1"/>
  <c r="J179"/>
  <c r="K179"/>
  <c r="L179"/>
  <c r="M179"/>
  <c r="N179"/>
  <c r="O179"/>
  <c r="P179"/>
  <c r="Q179"/>
  <c r="R179"/>
  <c r="F180"/>
  <c r="J180" s="1"/>
  <c r="I180"/>
  <c r="K180"/>
  <c r="L180"/>
  <c r="M180"/>
  <c r="N180"/>
  <c r="O180"/>
  <c r="P180"/>
  <c r="Q180"/>
  <c r="R180"/>
  <c r="F181"/>
  <c r="I181" s="1"/>
  <c r="J181"/>
  <c r="K181"/>
  <c r="L181"/>
  <c r="M181"/>
  <c r="N181"/>
  <c r="O181"/>
  <c r="P181"/>
  <c r="Q181"/>
  <c r="R181"/>
  <c r="F182"/>
  <c r="I182" s="1"/>
  <c r="J182"/>
  <c r="K182"/>
  <c r="L182"/>
  <c r="M182"/>
  <c r="N182"/>
  <c r="O182"/>
  <c r="P182"/>
  <c r="Q182"/>
  <c r="R182"/>
  <c r="F183"/>
  <c r="I183"/>
  <c r="J183"/>
  <c r="K183"/>
  <c r="L183"/>
  <c r="M183"/>
  <c r="N183"/>
  <c r="O183"/>
  <c r="P183"/>
  <c r="Q183"/>
  <c r="R183"/>
  <c r="F184"/>
  <c r="I184" s="1"/>
  <c r="J184"/>
  <c r="K184"/>
  <c r="L184"/>
  <c r="M184"/>
  <c r="N184"/>
  <c r="O184"/>
  <c r="P184"/>
  <c r="Q184"/>
  <c r="R184"/>
  <c r="F185"/>
  <c r="I185"/>
  <c r="J185"/>
  <c r="K185"/>
  <c r="L185"/>
  <c r="M185"/>
  <c r="N185"/>
  <c r="O185"/>
  <c r="P185"/>
  <c r="Q185"/>
  <c r="R185"/>
  <c r="F186"/>
  <c r="I186"/>
  <c r="J186"/>
  <c r="K186"/>
  <c r="L186"/>
  <c r="M186"/>
  <c r="N186"/>
  <c r="O186"/>
  <c r="P186"/>
  <c r="Q186"/>
  <c r="R186"/>
  <c r="F187"/>
  <c r="I187" s="1"/>
  <c r="J187"/>
  <c r="K187"/>
  <c r="L187"/>
  <c r="M187"/>
  <c r="N187"/>
  <c r="O187"/>
  <c r="P187"/>
  <c r="Q187"/>
  <c r="R187"/>
  <c r="F188"/>
  <c r="J188" s="1"/>
  <c r="I188"/>
  <c r="K188"/>
  <c r="L188"/>
  <c r="M188"/>
  <c r="N188"/>
  <c r="O188"/>
  <c r="P188"/>
  <c r="Q188"/>
  <c r="R188"/>
  <c r="F189"/>
  <c r="I189" s="1"/>
  <c r="J189"/>
  <c r="K189"/>
  <c r="L189"/>
  <c r="M189"/>
  <c r="N189"/>
  <c r="O189"/>
  <c r="P189"/>
  <c r="Q189"/>
  <c r="R189"/>
  <c r="F190"/>
  <c r="I190" s="1"/>
  <c r="J190"/>
  <c r="K190"/>
  <c r="L190"/>
  <c r="M190"/>
  <c r="N190"/>
  <c r="O190"/>
  <c r="P190"/>
  <c r="Q190"/>
  <c r="R190"/>
  <c r="F191"/>
  <c r="I191" s="1"/>
  <c r="J191"/>
  <c r="K191"/>
  <c r="L191"/>
  <c r="M191"/>
  <c r="N191"/>
  <c r="O191"/>
  <c r="P191"/>
  <c r="Q191"/>
  <c r="R191"/>
  <c r="F192"/>
  <c r="I192" s="1"/>
  <c r="J192"/>
  <c r="K192"/>
  <c r="L192"/>
  <c r="M192"/>
  <c r="N192"/>
  <c r="O192"/>
  <c r="P192"/>
  <c r="Q192"/>
  <c r="R192"/>
  <c r="F193"/>
  <c r="I193"/>
  <c r="J193"/>
  <c r="K193"/>
  <c r="L193"/>
  <c r="M193"/>
  <c r="N193"/>
  <c r="O193"/>
  <c r="P193"/>
  <c r="Q193"/>
  <c r="R193"/>
  <c r="F194"/>
  <c r="J194" s="1"/>
  <c r="I194"/>
  <c r="K194"/>
  <c r="L194"/>
  <c r="M194"/>
  <c r="N194"/>
  <c r="O194"/>
  <c r="P194"/>
  <c r="Q194"/>
  <c r="R194"/>
  <c r="F195"/>
  <c r="J195" s="1"/>
  <c r="I195"/>
  <c r="K195"/>
  <c r="L195"/>
  <c r="M195"/>
  <c r="N195"/>
  <c r="O195"/>
  <c r="P195"/>
  <c r="Q195"/>
  <c r="R195"/>
  <c r="F196"/>
  <c r="I196" s="1"/>
  <c r="J196"/>
  <c r="K196"/>
  <c r="L196"/>
  <c r="M196"/>
  <c r="N196"/>
  <c r="O196"/>
  <c r="P196"/>
  <c r="Q196"/>
  <c r="R196"/>
  <c r="F197"/>
  <c r="I197" s="1"/>
  <c r="J197"/>
  <c r="K197"/>
  <c r="L197"/>
  <c r="M197"/>
  <c r="N197"/>
  <c r="O197"/>
  <c r="P197"/>
  <c r="Q197"/>
  <c r="R197"/>
  <c r="F198"/>
  <c r="I198" s="1"/>
  <c r="J198"/>
  <c r="K198"/>
  <c r="L198"/>
  <c r="M198"/>
  <c r="N198"/>
  <c r="O198"/>
  <c r="P198"/>
  <c r="Q198"/>
  <c r="R198"/>
  <c r="F199"/>
  <c r="J199" s="1"/>
  <c r="I199"/>
  <c r="K199"/>
  <c r="L199"/>
  <c r="M199"/>
  <c r="N199"/>
  <c r="O199"/>
  <c r="P199"/>
  <c r="Q199"/>
  <c r="R199"/>
  <c r="F200"/>
  <c r="I200" s="1"/>
  <c r="J200"/>
  <c r="K200"/>
  <c r="L200"/>
  <c r="M200"/>
  <c r="N200"/>
  <c r="O200"/>
  <c r="P200"/>
  <c r="Q200"/>
  <c r="R200"/>
  <c r="F201"/>
  <c r="J201" s="1"/>
  <c r="I201"/>
  <c r="K201"/>
  <c r="L201"/>
  <c r="M201"/>
  <c r="N201"/>
  <c r="O201"/>
  <c r="P201"/>
  <c r="Q201"/>
  <c r="R201"/>
  <c r="F202"/>
  <c r="J202" s="1"/>
  <c r="I202"/>
  <c r="K202"/>
  <c r="L202"/>
  <c r="M202"/>
  <c r="N202"/>
  <c r="O202"/>
  <c r="P202"/>
  <c r="Q202"/>
  <c r="R202"/>
  <c r="F203"/>
  <c r="J203" s="1"/>
  <c r="I203"/>
  <c r="K203"/>
  <c r="L203"/>
  <c r="M203"/>
  <c r="N203"/>
  <c r="O203"/>
  <c r="P203"/>
  <c r="Q203"/>
  <c r="R203"/>
  <c r="F204"/>
  <c r="J204" s="1"/>
  <c r="I204"/>
  <c r="K204"/>
  <c r="L204"/>
  <c r="M204"/>
  <c r="N204"/>
  <c r="O204"/>
  <c r="P204"/>
  <c r="Q204"/>
  <c r="R204"/>
  <c r="F205"/>
  <c r="I205" s="1"/>
  <c r="J205"/>
  <c r="K205"/>
  <c r="L205"/>
  <c r="M205"/>
  <c r="N205"/>
  <c r="O205"/>
  <c r="P205"/>
  <c r="Q205"/>
  <c r="R205"/>
  <c r="F206"/>
  <c r="I206" s="1"/>
  <c r="J206"/>
  <c r="K206"/>
  <c r="L206"/>
  <c r="M206"/>
  <c r="N206"/>
  <c r="O206"/>
  <c r="P206"/>
  <c r="Q206"/>
  <c r="R206"/>
  <c r="F207"/>
  <c r="I207" s="1"/>
  <c r="J207"/>
  <c r="K207"/>
  <c r="L207"/>
  <c r="M207"/>
  <c r="N207"/>
  <c r="O207"/>
  <c r="P207"/>
  <c r="Q207"/>
  <c r="R207"/>
  <c r="F208"/>
  <c r="J208" s="1"/>
  <c r="I208"/>
  <c r="K208"/>
  <c r="L208"/>
  <c r="M208"/>
  <c r="N208"/>
  <c r="O208"/>
  <c r="P208"/>
  <c r="Q208"/>
  <c r="R208"/>
  <c r="F209"/>
  <c r="I209"/>
  <c r="J209"/>
  <c r="K209"/>
  <c r="L209"/>
  <c r="M209"/>
  <c r="N209"/>
  <c r="O209"/>
  <c r="P209"/>
  <c r="Q209"/>
  <c r="R209"/>
  <c r="F210"/>
  <c r="I210"/>
  <c r="J210"/>
  <c r="K210"/>
  <c r="L210"/>
  <c r="M210"/>
  <c r="N210"/>
  <c r="O210"/>
  <c r="P210"/>
  <c r="Q210"/>
  <c r="R210"/>
  <c r="F211"/>
  <c r="J211" s="1"/>
  <c r="I211"/>
  <c r="K211"/>
  <c r="L211"/>
  <c r="M211"/>
  <c r="N211"/>
  <c r="O211"/>
  <c r="P211"/>
  <c r="Q211"/>
  <c r="R211"/>
  <c r="F212"/>
  <c r="I212" s="1"/>
  <c r="J212"/>
  <c r="K212"/>
  <c r="L212"/>
  <c r="M212"/>
  <c r="N212"/>
  <c r="O212"/>
  <c r="P212"/>
  <c r="Q212"/>
  <c r="R212"/>
  <c r="F213"/>
  <c r="I213" s="1"/>
  <c r="J213"/>
  <c r="K213"/>
  <c r="L213"/>
  <c r="M213"/>
  <c r="N213"/>
  <c r="O213"/>
  <c r="P213"/>
  <c r="Q213"/>
  <c r="R213"/>
  <c r="F214"/>
  <c r="I214" s="1"/>
  <c r="J214"/>
  <c r="K214"/>
  <c r="L214"/>
  <c r="M214"/>
  <c r="N214"/>
  <c r="O214"/>
  <c r="P214"/>
  <c r="Q214"/>
  <c r="R214"/>
  <c r="F215"/>
  <c r="J215" s="1"/>
  <c r="I215"/>
  <c r="K215"/>
  <c r="L215"/>
  <c r="M215"/>
  <c r="N215"/>
  <c r="O215"/>
  <c r="P215"/>
  <c r="Q215"/>
  <c r="R215"/>
  <c r="F216"/>
  <c r="I216" s="1"/>
  <c r="J216"/>
  <c r="K216"/>
  <c r="L216"/>
  <c r="M216"/>
  <c r="N216"/>
  <c r="O216"/>
  <c r="P216"/>
  <c r="Q216"/>
  <c r="R216"/>
  <c r="F217"/>
  <c r="I217"/>
  <c r="J217"/>
  <c r="K217"/>
  <c r="L217"/>
  <c r="M217"/>
  <c r="N217"/>
  <c r="O217"/>
  <c r="P217"/>
  <c r="Q217"/>
  <c r="R217"/>
  <c r="F218"/>
  <c r="Q218" s="1"/>
  <c r="I218"/>
  <c r="J218"/>
  <c r="K218"/>
  <c r="L218"/>
  <c r="M218"/>
  <c r="N218"/>
  <c r="O218"/>
  <c r="P218"/>
  <c r="R218"/>
  <c r="F219"/>
  <c r="Q219" s="1"/>
  <c r="I219"/>
  <c r="J219"/>
  <c r="K219"/>
  <c r="L219"/>
  <c r="M219"/>
  <c r="N219"/>
  <c r="O219"/>
  <c r="P219"/>
  <c r="R219"/>
  <c r="F220"/>
  <c r="Q220" s="1"/>
  <c r="I220"/>
  <c r="J220"/>
  <c r="K220"/>
  <c r="L220"/>
  <c r="M220"/>
  <c r="N220"/>
  <c r="O220"/>
  <c r="P220"/>
  <c r="R220"/>
  <c r="F221"/>
  <c r="J221" s="1"/>
  <c r="I221"/>
  <c r="K221"/>
  <c r="L221"/>
  <c r="M221"/>
  <c r="N221"/>
  <c r="O221"/>
  <c r="P221"/>
  <c r="Q221"/>
  <c r="R221"/>
  <c r="F222"/>
  <c r="I222" s="1"/>
  <c r="J222"/>
  <c r="K222"/>
  <c r="L222"/>
  <c r="M222"/>
  <c r="N222"/>
  <c r="O222"/>
  <c r="P222"/>
  <c r="Q222"/>
  <c r="R222"/>
  <c r="F223"/>
  <c r="J223" s="1"/>
  <c r="I223"/>
  <c r="K223"/>
  <c r="L223"/>
  <c r="M223"/>
  <c r="N223"/>
  <c r="O223"/>
  <c r="P223"/>
  <c r="Q223"/>
  <c r="R223"/>
  <c r="F224"/>
  <c r="Q224" s="1"/>
  <c r="I224"/>
  <c r="J224"/>
  <c r="K224"/>
  <c r="L224"/>
  <c r="M224"/>
  <c r="N224"/>
  <c r="O224"/>
  <c r="P224"/>
  <c r="R224"/>
  <c r="F225"/>
  <c r="I225" s="1"/>
  <c r="J225"/>
  <c r="K225"/>
  <c r="L225"/>
  <c r="M225"/>
  <c r="N225"/>
  <c r="O225"/>
  <c r="P225"/>
  <c r="Q225"/>
  <c r="R225"/>
  <c r="F226"/>
  <c r="I226"/>
  <c r="J226"/>
  <c r="K226"/>
  <c r="L226"/>
  <c r="M226"/>
  <c r="N226"/>
  <c r="O226"/>
  <c r="P226"/>
  <c r="Q226"/>
  <c r="R226"/>
  <c r="F227"/>
  <c r="I227" s="1"/>
  <c r="J227"/>
  <c r="K227"/>
  <c r="L227"/>
  <c r="M227"/>
  <c r="N227"/>
  <c r="O227"/>
  <c r="P227"/>
  <c r="Q227"/>
  <c r="R227"/>
  <c r="F228"/>
  <c r="I228" s="1"/>
  <c r="J228"/>
  <c r="K228"/>
  <c r="L228"/>
  <c r="M228"/>
  <c r="N228"/>
  <c r="O228"/>
  <c r="P228"/>
  <c r="Q228"/>
  <c r="R228"/>
  <c r="F229"/>
  <c r="I229" s="1"/>
  <c r="J229"/>
  <c r="K229"/>
  <c r="L229"/>
  <c r="M229"/>
  <c r="N229"/>
  <c r="O229"/>
  <c r="P229"/>
  <c r="Q229"/>
  <c r="R229"/>
  <c r="F230"/>
  <c r="I230" s="1"/>
  <c r="J230"/>
  <c r="K230"/>
  <c r="L230"/>
  <c r="M230"/>
  <c r="N230"/>
  <c r="O230"/>
  <c r="P230"/>
  <c r="Q230"/>
  <c r="R230"/>
  <c r="F231"/>
  <c r="I231" s="1"/>
  <c r="J231"/>
  <c r="K231"/>
  <c r="L231"/>
  <c r="M231"/>
  <c r="N231"/>
  <c r="O231"/>
  <c r="P231"/>
  <c r="Q231"/>
  <c r="R231"/>
  <c r="F232"/>
  <c r="I232" s="1"/>
  <c r="J232"/>
  <c r="K232"/>
  <c r="L232"/>
  <c r="M232"/>
  <c r="N232"/>
  <c r="O232"/>
  <c r="P232"/>
  <c r="Q232"/>
  <c r="R232"/>
  <c r="F233"/>
  <c r="I233"/>
  <c r="J233"/>
  <c r="K233"/>
  <c r="L233"/>
  <c r="M233"/>
  <c r="N233"/>
  <c r="O233"/>
  <c r="P233"/>
  <c r="Q233"/>
  <c r="R233"/>
  <c r="F234"/>
  <c r="I234"/>
  <c r="J234"/>
  <c r="K234"/>
  <c r="L234"/>
  <c r="M234"/>
  <c r="N234"/>
  <c r="O234"/>
  <c r="P234"/>
  <c r="Q234"/>
  <c r="R234"/>
  <c r="F235"/>
  <c r="J235" s="1"/>
  <c r="I235"/>
  <c r="K235"/>
  <c r="L235"/>
  <c r="M235"/>
  <c r="N235"/>
  <c r="O235"/>
  <c r="P235"/>
  <c r="Q235"/>
  <c r="R235"/>
  <c r="F236"/>
  <c r="I236" s="1"/>
  <c r="J236"/>
  <c r="K236"/>
  <c r="L236"/>
  <c r="M236"/>
  <c r="N236"/>
  <c r="O236"/>
  <c r="P236"/>
  <c r="Q236"/>
  <c r="R236"/>
  <c r="F237"/>
  <c r="I237" s="1"/>
  <c r="J237"/>
  <c r="K237"/>
  <c r="L237"/>
  <c r="M237"/>
  <c r="N237"/>
  <c r="O237"/>
  <c r="P237"/>
  <c r="Q237"/>
  <c r="R237"/>
  <c r="F238"/>
  <c r="I238" s="1"/>
  <c r="J238"/>
  <c r="K238"/>
  <c r="L238"/>
  <c r="M238"/>
  <c r="N238"/>
  <c r="O238"/>
  <c r="P238"/>
  <c r="Q238"/>
  <c r="R238"/>
  <c r="F239"/>
  <c r="I239" s="1"/>
  <c r="J239"/>
  <c r="K239"/>
  <c r="L239"/>
  <c r="M239"/>
  <c r="N239"/>
  <c r="O239"/>
  <c r="P239"/>
  <c r="Q239"/>
  <c r="R239"/>
  <c r="F240"/>
  <c r="J240" s="1"/>
  <c r="I240"/>
  <c r="K240"/>
  <c r="L240"/>
  <c r="M240"/>
  <c r="N240"/>
  <c r="O240"/>
  <c r="P240"/>
  <c r="Q240"/>
  <c r="R240"/>
  <c r="F241"/>
  <c r="I241"/>
  <c r="J241"/>
  <c r="K241"/>
  <c r="L241"/>
  <c r="M241"/>
  <c r="N241"/>
  <c r="O241"/>
  <c r="P241"/>
  <c r="Q241"/>
  <c r="R241"/>
  <c r="F242"/>
  <c r="I242"/>
  <c r="J242"/>
  <c r="K242"/>
  <c r="L242"/>
  <c r="M242"/>
  <c r="N242"/>
  <c r="O242"/>
  <c r="P242"/>
  <c r="Q242"/>
  <c r="R242"/>
  <c r="F243"/>
  <c r="I243" s="1"/>
  <c r="J243"/>
  <c r="K243"/>
  <c r="L243"/>
  <c r="M243"/>
  <c r="N243"/>
  <c r="O243"/>
  <c r="P243"/>
  <c r="Q243"/>
  <c r="R243"/>
  <c r="F244"/>
  <c r="I244" s="1"/>
  <c r="J244"/>
  <c r="K244"/>
  <c r="L244"/>
  <c r="M244"/>
  <c r="N244"/>
  <c r="O244"/>
  <c r="P244"/>
  <c r="Q244"/>
  <c r="R244"/>
  <c r="F245"/>
  <c r="I245" s="1"/>
  <c r="J245"/>
  <c r="K245"/>
  <c r="L245"/>
  <c r="M245"/>
  <c r="N245"/>
  <c r="O245"/>
  <c r="P245"/>
  <c r="Q245"/>
  <c r="R245"/>
  <c r="F246"/>
  <c r="I246" s="1"/>
  <c r="J246"/>
  <c r="K246"/>
  <c r="L246"/>
  <c r="M246"/>
  <c r="N246"/>
  <c r="O246"/>
  <c r="P246"/>
  <c r="Q246"/>
  <c r="R246"/>
  <c r="F247"/>
  <c r="I247" s="1"/>
  <c r="J247"/>
  <c r="K247"/>
  <c r="L247"/>
  <c r="M247"/>
  <c r="N247"/>
  <c r="O247"/>
  <c r="P247"/>
  <c r="Q247"/>
  <c r="R247"/>
  <c r="F248"/>
  <c r="J248" s="1"/>
  <c r="I248"/>
  <c r="K248"/>
  <c r="L248"/>
  <c r="M248"/>
  <c r="N248"/>
  <c r="O248"/>
  <c r="P248"/>
  <c r="Q248"/>
  <c r="R248"/>
  <c r="F249"/>
  <c r="I249"/>
  <c r="J249"/>
  <c r="K249"/>
  <c r="L249"/>
  <c r="M249"/>
  <c r="N249"/>
  <c r="O249"/>
  <c r="P249"/>
  <c r="Q249"/>
  <c r="R249"/>
  <c r="F250"/>
  <c r="J250" s="1"/>
  <c r="I250"/>
  <c r="K250"/>
  <c r="L250"/>
  <c r="M250"/>
  <c r="N250"/>
  <c r="O250"/>
  <c r="P250"/>
  <c r="Q250"/>
  <c r="R250"/>
  <c r="F251"/>
  <c r="I251" s="1"/>
  <c r="J251"/>
  <c r="K251"/>
  <c r="L251"/>
  <c r="M251"/>
  <c r="N251"/>
  <c r="O251"/>
  <c r="P251"/>
  <c r="Q251"/>
  <c r="R251"/>
  <c r="F252"/>
  <c r="I252" s="1"/>
  <c r="J252"/>
  <c r="K252"/>
  <c r="L252"/>
  <c r="M252"/>
  <c r="N252"/>
  <c r="O252"/>
  <c r="P252"/>
  <c r="Q252"/>
  <c r="R252"/>
  <c r="F253"/>
  <c r="I253" s="1"/>
  <c r="J253"/>
  <c r="K253"/>
  <c r="L253"/>
  <c r="M253"/>
  <c r="N253"/>
  <c r="O253"/>
  <c r="P253"/>
  <c r="Q253"/>
  <c r="R253"/>
  <c r="F254"/>
  <c r="I254"/>
  <c r="J254"/>
  <c r="K254"/>
  <c r="L254"/>
  <c r="M254"/>
  <c r="N254"/>
  <c r="O254"/>
  <c r="P254"/>
  <c r="Q254"/>
  <c r="R254"/>
  <c r="F255"/>
  <c r="I255"/>
  <c r="J255"/>
  <c r="K255"/>
  <c r="L255"/>
  <c r="M255"/>
  <c r="N255"/>
  <c r="O255"/>
  <c r="P255"/>
  <c r="Q255"/>
  <c r="R255"/>
  <c r="F256"/>
  <c r="I256" s="1"/>
  <c r="J256"/>
  <c r="K256"/>
  <c r="L256"/>
  <c r="M256"/>
  <c r="N256"/>
  <c r="O256"/>
  <c r="P256"/>
  <c r="Q256"/>
  <c r="R256"/>
  <c r="F257"/>
  <c r="I257" s="1"/>
  <c r="J257"/>
  <c r="K257"/>
  <c r="L257"/>
  <c r="M257"/>
  <c r="N257"/>
  <c r="O257"/>
  <c r="P257"/>
  <c r="Q257"/>
  <c r="R257"/>
  <c r="F258"/>
  <c r="I258"/>
  <c r="J258"/>
  <c r="K258"/>
  <c r="L258"/>
  <c r="M258"/>
  <c r="N258"/>
  <c r="O258"/>
  <c r="P258"/>
  <c r="Q258"/>
  <c r="R258"/>
  <c r="F259"/>
  <c r="R259" s="1"/>
  <c r="I259"/>
  <c r="J259"/>
  <c r="K259"/>
  <c r="L259"/>
  <c r="M259"/>
  <c r="N259"/>
  <c r="O259"/>
  <c r="P259"/>
  <c r="Q259"/>
  <c r="F260"/>
  <c r="J260" s="1"/>
  <c r="I260"/>
  <c r="K260"/>
  <c r="L260"/>
  <c r="M260"/>
  <c r="N260"/>
  <c r="O260"/>
  <c r="P260"/>
  <c r="Q260"/>
  <c r="R260"/>
  <c r="F261"/>
  <c r="I261"/>
  <c r="J261"/>
  <c r="K261"/>
  <c r="L261"/>
  <c r="M261"/>
  <c r="N261"/>
  <c r="O261"/>
  <c r="P261"/>
  <c r="Q261"/>
  <c r="R261"/>
  <c r="F262"/>
  <c r="I262" s="1"/>
  <c r="J262"/>
  <c r="K262"/>
  <c r="L262"/>
  <c r="M262"/>
  <c r="N262"/>
  <c r="O262"/>
  <c r="P262"/>
  <c r="Q262"/>
  <c r="R262"/>
  <c r="F263"/>
  <c r="I263" s="1"/>
  <c r="J263"/>
  <c r="K263"/>
  <c r="L263"/>
  <c r="M263"/>
  <c r="N263"/>
  <c r="O263"/>
  <c r="P263"/>
  <c r="Q263"/>
  <c r="R263"/>
  <c r="F264"/>
  <c r="J264" s="1"/>
  <c r="I264"/>
  <c r="K264"/>
  <c r="L264"/>
  <c r="M264"/>
  <c r="N264"/>
  <c r="O264"/>
  <c r="P264"/>
  <c r="Q264"/>
  <c r="R264"/>
  <c r="F265"/>
  <c r="I265"/>
  <c r="J265"/>
  <c r="K265"/>
  <c r="L265"/>
  <c r="M265"/>
  <c r="N265"/>
  <c r="O265"/>
  <c r="P265"/>
  <c r="Q265"/>
  <c r="R265"/>
  <c r="F266"/>
  <c r="I266" s="1"/>
  <c r="J266"/>
  <c r="K266"/>
  <c r="L266"/>
  <c r="M266"/>
  <c r="N266"/>
  <c r="O266"/>
  <c r="P266"/>
  <c r="Q266"/>
  <c r="R266"/>
  <c r="F267"/>
  <c r="J267" s="1"/>
  <c r="I267"/>
  <c r="K267"/>
  <c r="L267"/>
  <c r="M267"/>
  <c r="N267"/>
  <c r="O267"/>
  <c r="P267"/>
  <c r="Q267"/>
  <c r="R267"/>
  <c r="F268"/>
  <c r="J268" s="1"/>
  <c r="I268"/>
  <c r="K268"/>
  <c r="L268"/>
  <c r="M268"/>
  <c r="N268"/>
  <c r="O268"/>
  <c r="P268"/>
  <c r="Q268"/>
  <c r="R268"/>
  <c r="F269"/>
  <c r="I269"/>
  <c r="J269"/>
  <c r="K269"/>
  <c r="L269"/>
  <c r="M269"/>
  <c r="N269"/>
  <c r="O269"/>
  <c r="P269"/>
  <c r="Q269"/>
  <c r="R269"/>
  <c r="F270"/>
  <c r="I270" s="1"/>
  <c r="J270"/>
  <c r="K270"/>
  <c r="L270"/>
  <c r="M270"/>
  <c r="N270"/>
  <c r="O270"/>
  <c r="P270"/>
  <c r="Q270"/>
  <c r="R270"/>
  <c r="F271"/>
  <c r="I271" s="1"/>
  <c r="J271"/>
  <c r="K271"/>
  <c r="L271"/>
  <c r="M271"/>
  <c r="N271"/>
  <c r="O271"/>
  <c r="P271"/>
  <c r="Q271"/>
  <c r="R271"/>
  <c r="F272"/>
  <c r="I272" s="1"/>
  <c r="J272"/>
  <c r="K272"/>
  <c r="L272"/>
  <c r="M272"/>
  <c r="N272"/>
  <c r="O272"/>
  <c r="P272"/>
  <c r="Q272"/>
  <c r="R272"/>
  <c r="F273"/>
  <c r="I273" s="1"/>
  <c r="J273"/>
  <c r="K273"/>
  <c r="L273"/>
  <c r="M273"/>
  <c r="N273"/>
  <c r="O273"/>
  <c r="P273"/>
  <c r="Q273"/>
  <c r="R273"/>
  <c r="F274"/>
  <c r="J274" s="1"/>
  <c r="I274"/>
  <c r="K274"/>
  <c r="L274"/>
  <c r="M274"/>
  <c r="N274"/>
  <c r="O274"/>
  <c r="P274"/>
  <c r="Q274"/>
  <c r="R274"/>
  <c r="F275"/>
  <c r="I275"/>
  <c r="J275"/>
  <c r="K275"/>
  <c r="L275"/>
  <c r="M275"/>
  <c r="N275"/>
  <c r="O275"/>
  <c r="P275"/>
  <c r="Q275"/>
  <c r="R275"/>
  <c r="F276"/>
  <c r="I276" s="1"/>
  <c r="J276"/>
  <c r="K276"/>
  <c r="L276"/>
  <c r="M276"/>
  <c r="N276"/>
  <c r="O276"/>
  <c r="P276"/>
  <c r="Q276"/>
  <c r="R276"/>
  <c r="F277"/>
  <c r="I277" s="1"/>
  <c r="J277"/>
  <c r="K277"/>
  <c r="L277"/>
  <c r="M277"/>
  <c r="N277"/>
  <c r="O277"/>
  <c r="P277"/>
  <c r="Q277"/>
  <c r="R277"/>
  <c r="F278"/>
  <c r="I278" s="1"/>
  <c r="J278"/>
  <c r="K278"/>
  <c r="L278"/>
  <c r="M278"/>
  <c r="N278"/>
  <c r="O278"/>
  <c r="P278"/>
  <c r="Q278"/>
  <c r="R278"/>
  <c r="F279"/>
  <c r="I279" s="1"/>
  <c r="J279"/>
  <c r="K279"/>
  <c r="L279"/>
  <c r="M279"/>
  <c r="N279"/>
  <c r="O279"/>
  <c r="P279"/>
  <c r="Q279"/>
  <c r="R279"/>
  <c r="F280"/>
  <c r="I280"/>
  <c r="J280"/>
  <c r="K280"/>
  <c r="L280"/>
  <c r="M280"/>
  <c r="N280"/>
  <c r="O280"/>
  <c r="P280"/>
  <c r="Q280"/>
  <c r="R280"/>
  <c r="F281"/>
  <c r="J281" s="1"/>
  <c r="I281"/>
  <c r="K281"/>
  <c r="L281"/>
  <c r="M281"/>
  <c r="N281"/>
  <c r="O281"/>
  <c r="P281"/>
  <c r="Q281"/>
  <c r="R281"/>
  <c r="F282"/>
  <c r="I282"/>
  <c r="J282"/>
  <c r="K282"/>
  <c r="L282"/>
  <c r="M282"/>
  <c r="N282"/>
  <c r="O282"/>
  <c r="P282"/>
  <c r="Q282"/>
  <c r="R282"/>
  <c r="F283"/>
  <c r="J283" s="1"/>
  <c r="I283"/>
  <c r="K283"/>
  <c r="L283"/>
  <c r="M283"/>
  <c r="N283"/>
  <c r="O283"/>
  <c r="P283"/>
  <c r="Q283"/>
  <c r="R283"/>
  <c r="F284"/>
  <c r="J284" s="1"/>
  <c r="I284"/>
  <c r="K284"/>
  <c r="L284"/>
  <c r="M284"/>
  <c r="N284"/>
  <c r="O284"/>
  <c r="P284"/>
  <c r="Q284"/>
  <c r="R284"/>
  <c r="F285"/>
  <c r="J285" s="1"/>
  <c r="I285"/>
  <c r="K285"/>
  <c r="L285"/>
  <c r="M285"/>
  <c r="N285"/>
  <c r="O285"/>
  <c r="P285"/>
  <c r="Q285"/>
  <c r="R285"/>
  <c r="F286"/>
  <c r="I286" s="1"/>
  <c r="J286"/>
  <c r="K286"/>
  <c r="L286"/>
  <c r="M286"/>
  <c r="N286"/>
  <c r="O286"/>
  <c r="P286"/>
  <c r="Q286"/>
  <c r="R286"/>
  <c r="F287"/>
  <c r="I287"/>
  <c r="J287"/>
  <c r="K287"/>
  <c r="L287"/>
  <c r="M287"/>
  <c r="N287"/>
  <c r="O287"/>
  <c r="P287"/>
  <c r="Q287"/>
  <c r="R287"/>
  <c r="F288"/>
  <c r="I288" s="1"/>
  <c r="J288"/>
  <c r="K288"/>
  <c r="L288"/>
  <c r="M288"/>
  <c r="N288"/>
  <c r="O288"/>
  <c r="P288"/>
  <c r="Q288"/>
  <c r="R288"/>
  <c r="F289"/>
  <c r="I289"/>
  <c r="J289"/>
  <c r="K289"/>
  <c r="L289"/>
  <c r="M289"/>
  <c r="N289"/>
  <c r="O289"/>
  <c r="P289"/>
  <c r="Q289"/>
  <c r="R289"/>
  <c r="F290"/>
  <c r="I290"/>
  <c r="J290"/>
  <c r="K290"/>
  <c r="L290"/>
  <c r="M290"/>
  <c r="N290"/>
  <c r="O290"/>
  <c r="P290"/>
  <c r="Q290"/>
  <c r="R290"/>
  <c r="F291"/>
  <c r="J291" s="1"/>
  <c r="I291"/>
  <c r="K291"/>
  <c r="L291"/>
  <c r="M291"/>
  <c r="N291"/>
  <c r="O291"/>
  <c r="P291"/>
  <c r="Q291"/>
  <c r="R291"/>
  <c r="F292"/>
  <c r="I292" s="1"/>
  <c r="J292"/>
  <c r="K292"/>
  <c r="L292"/>
  <c r="M292"/>
  <c r="N292"/>
  <c r="O292"/>
  <c r="P292"/>
  <c r="Q292"/>
  <c r="R292"/>
  <c r="F293"/>
  <c r="J293" s="1"/>
  <c r="I293"/>
  <c r="K293"/>
  <c r="L293"/>
  <c r="M293"/>
  <c r="N293"/>
  <c r="O293"/>
  <c r="P293"/>
  <c r="Q293"/>
  <c r="R293"/>
  <c r="F294"/>
  <c r="I294" s="1"/>
  <c r="J294"/>
  <c r="K294"/>
  <c r="L294"/>
  <c r="M294"/>
  <c r="N294"/>
  <c r="O294"/>
  <c r="P294"/>
  <c r="Q294"/>
  <c r="R294"/>
  <c r="F295"/>
  <c r="I295" s="1"/>
  <c r="J295"/>
  <c r="K295"/>
  <c r="L295"/>
  <c r="M295"/>
  <c r="N295"/>
  <c r="O295"/>
  <c r="P295"/>
  <c r="Q295"/>
  <c r="R295"/>
  <c r="F296"/>
  <c r="J296" s="1"/>
  <c r="I296"/>
  <c r="K296"/>
  <c r="L296"/>
  <c r="M296"/>
  <c r="N296"/>
  <c r="O296"/>
  <c r="P296"/>
  <c r="Q296"/>
  <c r="R296"/>
  <c r="F297"/>
  <c r="J297" s="1"/>
  <c r="I297"/>
  <c r="K297"/>
  <c r="L297"/>
  <c r="M297"/>
  <c r="N297"/>
  <c r="O297"/>
  <c r="P297"/>
  <c r="Q297"/>
  <c r="R297"/>
  <c r="F298"/>
  <c r="J298" s="1"/>
  <c r="I298"/>
  <c r="K298"/>
  <c r="L298"/>
  <c r="M298"/>
  <c r="N298"/>
  <c r="O298"/>
  <c r="P298"/>
  <c r="Q298"/>
  <c r="R298"/>
  <c r="F299"/>
  <c r="J299" s="1"/>
  <c r="I299"/>
  <c r="K299"/>
  <c r="L299"/>
  <c r="M299"/>
  <c r="N299"/>
  <c r="O299"/>
  <c r="P299"/>
  <c r="Q299"/>
  <c r="R299"/>
  <c r="F300"/>
  <c r="J300" s="1"/>
  <c r="I300"/>
  <c r="K300"/>
  <c r="L300"/>
  <c r="M300"/>
  <c r="N300"/>
  <c r="O300"/>
  <c r="P300"/>
  <c r="Q300"/>
  <c r="R300"/>
  <c r="F301"/>
  <c r="J301" s="1"/>
  <c r="I301"/>
  <c r="K301"/>
  <c r="L301"/>
  <c r="M301"/>
  <c r="N301"/>
  <c r="O301"/>
  <c r="P301"/>
  <c r="Q301"/>
  <c r="R301"/>
  <c r="F302"/>
  <c r="I302" s="1"/>
  <c r="J302"/>
  <c r="K302"/>
  <c r="L302"/>
  <c r="M302"/>
  <c r="N302"/>
  <c r="O302"/>
  <c r="P302"/>
  <c r="Q302"/>
  <c r="R302"/>
  <c r="F303"/>
  <c r="J303" s="1"/>
  <c r="I303"/>
  <c r="K303"/>
  <c r="L303"/>
  <c r="M303"/>
  <c r="N303"/>
  <c r="O303"/>
  <c r="P303"/>
  <c r="Q303"/>
  <c r="R303"/>
  <c r="F304"/>
  <c r="J304" s="1"/>
  <c r="I304"/>
  <c r="K304"/>
  <c r="L304"/>
  <c r="M304"/>
  <c r="N304"/>
  <c r="O304"/>
  <c r="P304"/>
  <c r="Q304"/>
  <c r="R304"/>
  <c r="F305"/>
  <c r="J305" s="1"/>
  <c r="I305"/>
  <c r="K305"/>
  <c r="L305"/>
  <c r="M305"/>
  <c r="N305"/>
  <c r="O305"/>
  <c r="P305"/>
  <c r="Q305"/>
  <c r="R305"/>
  <c r="F306"/>
  <c r="M306" s="1"/>
  <c r="I306"/>
  <c r="J306"/>
  <c r="K306"/>
  <c r="L306"/>
  <c r="N306"/>
  <c r="O306"/>
  <c r="P306"/>
  <c r="Q306"/>
  <c r="R306"/>
  <c r="F307"/>
  <c r="J307" s="1"/>
  <c r="I307"/>
  <c r="K307"/>
  <c r="L307"/>
  <c r="M307"/>
  <c r="N307"/>
  <c r="O307"/>
  <c r="P307"/>
  <c r="Q307"/>
  <c r="R307"/>
  <c r="F308"/>
  <c r="I308" s="1"/>
  <c r="J308"/>
  <c r="K308"/>
  <c r="L308"/>
  <c r="M308"/>
  <c r="N308"/>
  <c r="O308"/>
  <c r="P308"/>
  <c r="Q308"/>
  <c r="R308"/>
  <c r="F309"/>
  <c r="J309" s="1"/>
  <c r="I309"/>
  <c r="K309"/>
  <c r="L309"/>
  <c r="M309"/>
  <c r="N309"/>
  <c r="O309"/>
  <c r="P309"/>
  <c r="Q309"/>
  <c r="R309"/>
  <c r="F310"/>
  <c r="M310" s="1"/>
  <c r="I310"/>
  <c r="J310"/>
  <c r="K310"/>
  <c r="L310"/>
  <c r="N310"/>
  <c r="O310"/>
  <c r="P310"/>
  <c r="Q310"/>
  <c r="R310"/>
  <c r="F311"/>
  <c r="I311" s="1"/>
  <c r="J311"/>
  <c r="K311"/>
  <c r="L311"/>
  <c r="M311"/>
  <c r="N311"/>
  <c r="O311"/>
  <c r="P311"/>
  <c r="Q311"/>
  <c r="R311"/>
  <c r="F312"/>
  <c r="J312" s="1"/>
  <c r="I312"/>
  <c r="K312"/>
  <c r="L312"/>
  <c r="M312"/>
  <c r="N312"/>
  <c r="O312"/>
  <c r="P312"/>
  <c r="Q312"/>
  <c r="R312"/>
  <c r="F313"/>
  <c r="I313"/>
  <c r="J313"/>
  <c r="K313"/>
  <c r="L313"/>
  <c r="M313"/>
  <c r="N313"/>
  <c r="O313"/>
  <c r="P313"/>
  <c r="Q313"/>
  <c r="R313"/>
  <c r="F314"/>
  <c r="M314" s="1"/>
  <c r="I314"/>
  <c r="J314"/>
  <c r="K314"/>
  <c r="L314"/>
  <c r="N314"/>
  <c r="O314"/>
  <c r="P314"/>
  <c r="Q314"/>
  <c r="R314"/>
  <c r="F315"/>
  <c r="J315" s="1"/>
  <c r="I315"/>
  <c r="K315"/>
  <c r="L315"/>
  <c r="M315"/>
  <c r="N315"/>
  <c r="O315"/>
  <c r="P315"/>
  <c r="Q315"/>
  <c r="R315"/>
  <c r="F316"/>
  <c r="I316" s="1"/>
  <c r="J316"/>
  <c r="K316"/>
  <c r="L316"/>
  <c r="M316"/>
  <c r="N316"/>
  <c r="O316"/>
  <c r="P316"/>
  <c r="Q316"/>
  <c r="R316"/>
  <c r="F317"/>
  <c r="J317" s="1"/>
  <c r="I317"/>
  <c r="K317"/>
  <c r="L317"/>
  <c r="M317"/>
  <c r="N317"/>
  <c r="O317"/>
  <c r="P317"/>
  <c r="Q317"/>
  <c r="R317"/>
  <c r="F318"/>
  <c r="I318" s="1"/>
  <c r="J318"/>
  <c r="K318"/>
  <c r="L318"/>
  <c r="M318"/>
  <c r="N318"/>
  <c r="O318"/>
  <c r="P318"/>
  <c r="Q318"/>
  <c r="R318"/>
  <c r="F319"/>
  <c r="I319" s="1"/>
  <c r="J319"/>
  <c r="K319"/>
  <c r="L319"/>
  <c r="M319"/>
  <c r="N319"/>
  <c r="O319"/>
  <c r="P319"/>
  <c r="Q319"/>
  <c r="R319"/>
  <c r="F320"/>
  <c r="I320" s="1"/>
  <c r="J320"/>
  <c r="K320"/>
  <c r="L320"/>
  <c r="M320"/>
  <c r="N320"/>
  <c r="O320"/>
  <c r="P320"/>
  <c r="Q320"/>
  <c r="R320"/>
  <c r="J321"/>
  <c r="I321"/>
  <c r="K321"/>
  <c r="L321"/>
  <c r="M321"/>
  <c r="N321"/>
  <c r="O321"/>
  <c r="P321"/>
  <c r="Q321"/>
  <c r="R321"/>
  <c r="F322"/>
  <c r="I322"/>
  <c r="J322"/>
  <c r="K322"/>
  <c r="L322"/>
  <c r="M322"/>
  <c r="N322"/>
  <c r="O322"/>
  <c r="P322"/>
  <c r="Q322"/>
  <c r="R322"/>
  <c r="F323"/>
  <c r="I323" s="1"/>
  <c r="J323"/>
  <c r="K323"/>
  <c r="L323"/>
  <c r="M323"/>
  <c r="N323"/>
  <c r="O323"/>
  <c r="P323"/>
  <c r="Q323"/>
  <c r="R323"/>
  <c r="F324"/>
  <c r="J324" s="1"/>
  <c r="I324"/>
  <c r="K324"/>
  <c r="L324"/>
  <c r="M324"/>
  <c r="N324"/>
  <c r="O324"/>
  <c r="P324"/>
  <c r="Q324"/>
  <c r="R324"/>
  <c r="F325"/>
  <c r="J325" s="1"/>
  <c r="I325"/>
  <c r="K325"/>
  <c r="L325"/>
  <c r="M325"/>
  <c r="N325"/>
  <c r="O325"/>
  <c r="P325"/>
  <c r="Q325"/>
  <c r="R325"/>
  <c r="F326"/>
  <c r="I326" s="1"/>
  <c r="J326"/>
  <c r="K326"/>
  <c r="L326"/>
  <c r="M326"/>
  <c r="N326"/>
  <c r="O326"/>
  <c r="P326"/>
  <c r="Q326"/>
  <c r="R326"/>
  <c r="F327"/>
  <c r="M327" s="1"/>
  <c r="I327"/>
  <c r="J327"/>
  <c r="K327"/>
  <c r="L327"/>
  <c r="N327"/>
  <c r="O327"/>
  <c r="P327"/>
  <c r="Q327"/>
  <c r="R327"/>
  <c r="F328"/>
  <c r="I328" s="1"/>
  <c r="J328"/>
  <c r="K328"/>
  <c r="L328"/>
  <c r="M328"/>
  <c r="N328"/>
  <c r="O328"/>
  <c r="P328"/>
  <c r="Q328"/>
  <c r="R328"/>
  <c r="F329"/>
  <c r="M329" s="1"/>
  <c r="I329"/>
  <c r="J329"/>
  <c r="K329"/>
  <c r="L329"/>
  <c r="N329"/>
  <c r="O329"/>
  <c r="P329"/>
  <c r="Q329"/>
  <c r="R329"/>
  <c r="F330"/>
  <c r="J330" s="1"/>
  <c r="I330"/>
  <c r="K330"/>
  <c r="L330"/>
  <c r="M330"/>
  <c r="N330"/>
  <c r="O330"/>
  <c r="P330"/>
  <c r="Q330"/>
  <c r="R330"/>
  <c r="F331"/>
  <c r="I331" s="1"/>
  <c r="J331"/>
  <c r="K331"/>
  <c r="L331"/>
  <c r="M331"/>
  <c r="N331"/>
  <c r="O331"/>
  <c r="P331"/>
  <c r="Q331"/>
  <c r="R331"/>
  <c r="F332"/>
  <c r="I332" s="1"/>
  <c r="J332"/>
  <c r="K332"/>
  <c r="L332"/>
  <c r="M332"/>
  <c r="N332"/>
  <c r="O332"/>
  <c r="P332"/>
  <c r="Q332"/>
  <c r="R332"/>
  <c r="F333"/>
  <c r="I333" s="1"/>
  <c r="J333"/>
  <c r="K333"/>
  <c r="L333"/>
  <c r="M333"/>
  <c r="N333"/>
  <c r="O333"/>
  <c r="P333"/>
  <c r="Q333"/>
  <c r="R333"/>
  <c r="F334"/>
  <c r="I334" s="1"/>
  <c r="J334"/>
  <c r="K334"/>
  <c r="L334"/>
  <c r="M334"/>
  <c r="N334"/>
  <c r="O334"/>
  <c r="P334"/>
  <c r="Q334"/>
  <c r="R334"/>
  <c r="F335"/>
  <c r="J335" s="1"/>
  <c r="I335"/>
  <c r="K335"/>
  <c r="L335"/>
  <c r="M335"/>
  <c r="N335"/>
  <c r="O335"/>
  <c r="P335"/>
  <c r="Q335"/>
  <c r="R335"/>
  <c r="B4"/>
  <c r="C4"/>
  <c r="D4"/>
  <c r="B7"/>
  <c r="C7"/>
  <c r="D7"/>
  <c r="AC4" i="3"/>
  <c r="AC154"/>
  <c r="AC155"/>
  <c r="AC156"/>
  <c r="AC157"/>
  <c r="AC158"/>
  <c r="AC159"/>
  <c r="AC160"/>
  <c r="AC161"/>
  <c r="AC162"/>
  <c r="AC163"/>
  <c r="AC164"/>
  <c r="AC165"/>
  <c r="AC166"/>
  <c r="AC167"/>
  <c r="AC168"/>
  <c r="AC169"/>
  <c r="AC170"/>
  <c r="AC171"/>
  <c r="AC172"/>
  <c r="AC173"/>
  <c r="AC174"/>
  <c r="AC175"/>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W7" i="17"/>
  <c r="X7"/>
  <c r="Y7"/>
  <c r="W8"/>
  <c r="Y8" s="1"/>
  <c r="X8"/>
  <c r="W9"/>
  <c r="Y9" s="1"/>
  <c r="X9"/>
  <c r="W10"/>
  <c r="X10"/>
  <c r="Y10"/>
  <c r="W12"/>
  <c r="Y12" s="1"/>
  <c r="X12"/>
  <c r="W13"/>
  <c r="Y13" s="1"/>
  <c r="X13"/>
  <c r="W14"/>
  <c r="Y14" s="1"/>
  <c r="X14"/>
  <c r="W15"/>
  <c r="X15"/>
  <c r="Y15"/>
  <c r="E2" i="18"/>
  <c r="E3"/>
  <c r="G4" i="20"/>
  <c r="G12" s="1"/>
  <c r="G13" s="1"/>
  <c r="I7"/>
  <c r="I12" s="1"/>
  <c r="I8"/>
  <c r="I9"/>
  <c r="I14"/>
  <c r="G15"/>
  <c r="I18"/>
  <c r="I19"/>
  <c r="I20"/>
  <c r="G21"/>
  <c r="G22" s="1"/>
  <c r="I21"/>
  <c r="I22" s="1"/>
  <c r="D23"/>
  <c r="G24"/>
  <c r="G31" s="1"/>
  <c r="G32" s="1"/>
  <c r="I25"/>
  <c r="I31" s="1"/>
  <c r="I32" s="1"/>
  <c r="K32" s="1"/>
  <c r="I27"/>
  <c r="I28"/>
  <c r="K31"/>
  <c r="C33"/>
  <c r="D33"/>
  <c r="G4" i="19"/>
  <c r="G11" s="1"/>
  <c r="G12" s="1"/>
  <c r="I5"/>
  <c r="G6"/>
  <c r="I7"/>
  <c r="I11" s="1"/>
  <c r="I8"/>
  <c r="I9"/>
  <c r="G15"/>
  <c r="G23" s="1"/>
  <c r="I15"/>
  <c r="I18"/>
  <c r="I19"/>
  <c r="I20"/>
  <c r="I21"/>
  <c r="I23"/>
  <c r="I24" s="1"/>
  <c r="I28"/>
  <c r="I30"/>
  <c r="I35" s="1"/>
  <c r="K35" s="1"/>
  <c r="I31"/>
  <c r="E34"/>
  <c r="D26" s="1"/>
  <c r="G35"/>
  <c r="G36" s="1"/>
  <c r="C37"/>
  <c r="E3" i="9"/>
  <c r="B3" s="1"/>
  <c r="C4"/>
  <c r="E5"/>
  <c r="E6"/>
  <c r="O6"/>
  <c r="O8" s="1"/>
  <c r="E7"/>
  <c r="C8"/>
  <c r="C11"/>
  <c r="E11"/>
  <c r="C12"/>
  <c r="E12" s="1"/>
  <c r="L243" i="3" s="1"/>
  <c r="E13" i="9"/>
  <c r="B15"/>
  <c r="B16"/>
  <c r="C16"/>
  <c r="D16"/>
  <c r="E16"/>
  <c r="E17"/>
  <c r="E18"/>
  <c r="E20"/>
  <c r="E21"/>
  <c r="E22"/>
  <c r="E23"/>
  <c r="X243" i="3" s="1"/>
  <c r="F25" i="9"/>
  <c r="I47"/>
  <c r="I55" s="1"/>
  <c r="T47"/>
  <c r="AE47"/>
  <c r="AH47" s="1"/>
  <c r="AH55" s="1"/>
  <c r="B34" s="1"/>
  <c r="I48"/>
  <c r="T48"/>
  <c r="T55" s="1"/>
  <c r="B33" s="1"/>
  <c r="AG48"/>
  <c r="AH48"/>
  <c r="I49"/>
  <c r="AG49"/>
  <c r="AH49"/>
  <c r="I50"/>
  <c r="T50"/>
  <c r="AE50"/>
  <c r="AG50"/>
  <c r="AH50"/>
  <c r="AK50"/>
  <c r="I51"/>
  <c r="T51"/>
  <c r="AG51"/>
  <c r="AH51"/>
  <c r="I52"/>
  <c r="AE52"/>
  <c r="AH52" s="1"/>
  <c r="I53"/>
  <c r="I54"/>
  <c r="B55"/>
  <c r="C55"/>
  <c r="D55"/>
  <c r="E55"/>
  <c r="F55"/>
  <c r="G55"/>
  <c r="H55"/>
  <c r="J55"/>
  <c r="M55"/>
  <c r="N55"/>
  <c r="O55"/>
  <c r="P55"/>
  <c r="Q55"/>
  <c r="R55"/>
  <c r="S55"/>
  <c r="U55"/>
  <c r="X55"/>
  <c r="AE57"/>
  <c r="AH57" s="1"/>
  <c r="AH64" s="1"/>
  <c r="C34" s="1"/>
  <c r="AK57"/>
  <c r="AE58"/>
  <c r="AG58"/>
  <c r="AH58"/>
  <c r="AE59"/>
  <c r="AG59"/>
  <c r="AH59"/>
  <c r="AK59"/>
  <c r="I60"/>
  <c r="T60"/>
  <c r="AE60"/>
  <c r="AH60" s="1"/>
  <c r="AK60"/>
  <c r="AK63" s="1"/>
  <c r="AK65" s="1"/>
  <c r="B24" s="1"/>
  <c r="E24" s="1"/>
  <c r="AA243" i="3" s="1"/>
  <c r="I61" i="9"/>
  <c r="T61"/>
  <c r="AE61"/>
  <c r="AG61"/>
  <c r="AH61"/>
  <c r="I62"/>
  <c r="T62"/>
  <c r="AE62"/>
  <c r="AH62" s="1"/>
  <c r="AK62"/>
  <c r="I63"/>
  <c r="B64"/>
  <c r="C64"/>
  <c r="D64"/>
  <c r="E64"/>
  <c r="F64"/>
  <c r="G64"/>
  <c r="H64"/>
  <c r="I64"/>
  <c r="C19" s="1"/>
  <c r="J64"/>
  <c r="D4" s="1"/>
  <c r="D8" s="1"/>
  <c r="M64"/>
  <c r="N64"/>
  <c r="O64"/>
  <c r="P64"/>
  <c r="Q64"/>
  <c r="R64"/>
  <c r="S64"/>
  <c r="T64"/>
  <c r="C33" s="1"/>
  <c r="U64"/>
  <c r="X64"/>
  <c r="C15" s="1"/>
  <c r="I71"/>
  <c r="I76" s="1"/>
  <c r="T71"/>
  <c r="T76" s="1"/>
  <c r="AE71"/>
  <c r="AG71"/>
  <c r="AH71"/>
  <c r="I72"/>
  <c r="T72"/>
  <c r="AE72"/>
  <c r="AG72"/>
  <c r="AH72"/>
  <c r="I73"/>
  <c r="AE73"/>
  <c r="AH73" s="1"/>
  <c r="I74"/>
  <c r="AE74"/>
  <c r="AG74"/>
  <c r="AH74"/>
  <c r="I75"/>
  <c r="AG75"/>
  <c r="AH75"/>
  <c r="B76"/>
  <c r="C76"/>
  <c r="D76"/>
  <c r="D78" s="1"/>
  <c r="E76"/>
  <c r="E78" s="1"/>
  <c r="F76"/>
  <c r="G76"/>
  <c r="H76"/>
  <c r="H78" s="1"/>
  <c r="J76"/>
  <c r="M76"/>
  <c r="N76"/>
  <c r="N78" s="1"/>
  <c r="O76"/>
  <c r="O78" s="1"/>
  <c r="P76"/>
  <c r="Q76"/>
  <c r="R76"/>
  <c r="R78" s="1"/>
  <c r="S76"/>
  <c r="S78" s="1"/>
  <c r="U76"/>
  <c r="F4" s="1"/>
  <c r="F8" s="1"/>
  <c r="X76"/>
  <c r="X78" s="1"/>
  <c r="H15" s="1"/>
  <c r="B78"/>
  <c r="C78"/>
  <c r="F78"/>
  <c r="G78"/>
  <c r="J78"/>
  <c r="M78"/>
  <c r="P78"/>
  <c r="Q78"/>
  <c r="U78"/>
  <c r="G7" i="13"/>
  <c r="I7" s="1"/>
  <c r="I14" s="1"/>
  <c r="O7"/>
  <c r="O14" s="1"/>
  <c r="G8"/>
  <c r="I8" s="1"/>
  <c r="O8"/>
  <c r="G9"/>
  <c r="I9"/>
  <c r="O9"/>
  <c r="G10"/>
  <c r="I10"/>
  <c r="O10"/>
  <c r="G11"/>
  <c r="I11"/>
  <c r="O11"/>
  <c r="G12"/>
  <c r="I12" s="1"/>
  <c r="O12"/>
  <c r="G13"/>
  <c r="I13" s="1"/>
  <c r="O13"/>
  <c r="C14"/>
  <c r="C33" s="1"/>
  <c r="E14"/>
  <c r="G14"/>
  <c r="G33" s="1"/>
  <c r="K14"/>
  <c r="M14"/>
  <c r="M33" s="1"/>
  <c r="G18"/>
  <c r="I18"/>
  <c r="O18"/>
  <c r="G19"/>
  <c r="G31" s="1"/>
  <c r="O19"/>
  <c r="G20"/>
  <c r="I20" s="1"/>
  <c r="O20"/>
  <c r="G21"/>
  <c r="I21"/>
  <c r="O21"/>
  <c r="O31" s="1"/>
  <c r="G22"/>
  <c r="I22" s="1"/>
  <c r="O22"/>
  <c r="G23"/>
  <c r="I23" s="1"/>
  <c r="O23"/>
  <c r="G24"/>
  <c r="I24"/>
  <c r="O24"/>
  <c r="G25"/>
  <c r="I25"/>
  <c r="O25"/>
  <c r="G26"/>
  <c r="I26"/>
  <c r="O26"/>
  <c r="G27"/>
  <c r="I27" s="1"/>
  <c r="O27"/>
  <c r="G28"/>
  <c r="I28" s="1"/>
  <c r="O28"/>
  <c r="G29"/>
  <c r="I29"/>
  <c r="O29"/>
  <c r="I30"/>
  <c r="O30"/>
  <c r="C31"/>
  <c r="E31"/>
  <c r="K31"/>
  <c r="K33" s="1"/>
  <c r="M31"/>
  <c r="E33"/>
  <c r="G40"/>
  <c r="G38" s="1"/>
  <c r="G45"/>
  <c r="I61"/>
  <c r="O61"/>
  <c r="O65" s="1"/>
  <c r="I62"/>
  <c r="O62"/>
  <c r="I63"/>
  <c r="I65" s="1"/>
  <c r="O63"/>
  <c r="I64"/>
  <c r="K64"/>
  <c r="O64"/>
  <c r="C65"/>
  <c r="E65"/>
  <c r="G65"/>
  <c r="K65"/>
  <c r="M65"/>
  <c r="I68"/>
  <c r="I82" s="1"/>
  <c r="O68"/>
  <c r="O82" s="1"/>
  <c r="I69"/>
  <c r="O69"/>
  <c r="I70"/>
  <c r="O70"/>
  <c r="I71"/>
  <c r="O71"/>
  <c r="I72"/>
  <c r="O72"/>
  <c r="I73"/>
  <c r="O73"/>
  <c r="I74"/>
  <c r="O74"/>
  <c r="I75"/>
  <c r="O75"/>
  <c r="I76"/>
  <c r="O76"/>
  <c r="I77"/>
  <c r="O77"/>
  <c r="I78"/>
  <c r="O78"/>
  <c r="I79"/>
  <c r="O79"/>
  <c r="I80"/>
  <c r="O80"/>
  <c r="C82"/>
  <c r="E82"/>
  <c r="G82"/>
  <c r="G84" s="1"/>
  <c r="E86" s="1"/>
  <c r="E99" s="1"/>
  <c r="K82"/>
  <c r="M82"/>
  <c r="M84" s="1"/>
  <c r="C84"/>
  <c r="E84"/>
  <c r="K84"/>
  <c r="E90"/>
  <c r="E92"/>
  <c r="E94"/>
  <c r="E97"/>
  <c r="I7" i="21"/>
  <c r="I8"/>
  <c r="I9"/>
  <c r="I13" s="1"/>
  <c r="I10"/>
  <c r="C13"/>
  <c r="E13"/>
  <c r="E31" s="1"/>
  <c r="G13"/>
  <c r="G31" s="1"/>
  <c r="I17"/>
  <c r="I18"/>
  <c r="I19"/>
  <c r="I29" s="1"/>
  <c r="I20"/>
  <c r="I21"/>
  <c r="I22"/>
  <c r="I23"/>
  <c r="I24"/>
  <c r="I25"/>
  <c r="I26"/>
  <c r="I27"/>
  <c r="I28"/>
  <c r="C29"/>
  <c r="E29"/>
  <c r="G29"/>
  <c r="G36"/>
  <c r="G40"/>
  <c r="G42"/>
  <c r="G60"/>
  <c r="I60"/>
  <c r="K60" s="1"/>
  <c r="G61"/>
  <c r="I61"/>
  <c r="K61" s="1"/>
  <c r="G62"/>
  <c r="I62"/>
  <c r="K62" s="1"/>
  <c r="G63"/>
  <c r="I63"/>
  <c r="K63" s="1"/>
  <c r="C64"/>
  <c r="E64"/>
  <c r="G64"/>
  <c r="G67"/>
  <c r="G80" s="1"/>
  <c r="G82" s="1"/>
  <c r="I67"/>
  <c r="K67" s="1"/>
  <c r="G68"/>
  <c r="I68"/>
  <c r="K68" s="1"/>
  <c r="G69"/>
  <c r="I69"/>
  <c r="K69" s="1"/>
  <c r="G70"/>
  <c r="I70"/>
  <c r="K70" s="1"/>
  <c r="G71"/>
  <c r="I71"/>
  <c r="K71" s="1"/>
  <c r="G72"/>
  <c r="I72"/>
  <c r="K72" s="1"/>
  <c r="G73"/>
  <c r="I73"/>
  <c r="K73" s="1"/>
  <c r="G74"/>
  <c r="I74"/>
  <c r="K74" s="1"/>
  <c r="G75"/>
  <c r="I75"/>
  <c r="K75" s="1"/>
  <c r="G76"/>
  <c r="I76"/>
  <c r="K76" s="1"/>
  <c r="G77"/>
  <c r="I77"/>
  <c r="K77" s="1"/>
  <c r="G78"/>
  <c r="I78"/>
  <c r="K78" s="1"/>
  <c r="G79"/>
  <c r="I79"/>
  <c r="K79" s="1"/>
  <c r="C80"/>
  <c r="C82" s="1"/>
  <c r="E80"/>
  <c r="E82"/>
  <c r="E95" s="1"/>
  <c r="E90"/>
  <c r="E88" s="1"/>
  <c r="E92"/>
  <c r="G105"/>
  <c r="G109" s="1"/>
  <c r="G127" s="1"/>
  <c r="G106"/>
  <c r="G107"/>
  <c r="G108"/>
  <c r="C109"/>
  <c r="C127" s="1"/>
  <c r="E109"/>
  <c r="G112"/>
  <c r="G125" s="1"/>
  <c r="G113"/>
  <c r="G114"/>
  <c r="G115"/>
  <c r="G116"/>
  <c r="G117"/>
  <c r="G118"/>
  <c r="G119"/>
  <c r="G120"/>
  <c r="G121"/>
  <c r="G122"/>
  <c r="G123"/>
  <c r="G124"/>
  <c r="C125"/>
  <c r="E125"/>
  <c r="E127"/>
  <c r="E129" s="1"/>
  <c r="E141" s="1"/>
  <c r="E136"/>
  <c r="E133" s="1"/>
  <c r="E139" s="1"/>
  <c r="E137"/>
  <c r="I37" i="11"/>
  <c r="I37" i="10"/>
  <c r="B7" i="7"/>
  <c r="C7"/>
  <c r="D7"/>
  <c r="E7"/>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M3" i="1"/>
  <c r="C8"/>
  <c r="E8"/>
  <c r="F8"/>
  <c r="G8"/>
  <c r="H8"/>
  <c r="I8"/>
  <c r="J8"/>
  <c r="K8"/>
  <c r="G241" i="3"/>
  <c r="I241"/>
  <c r="J241"/>
  <c r="J245" s="1"/>
  <c r="K241"/>
  <c r="L241"/>
  <c r="M241"/>
  <c r="N241"/>
  <c r="O241"/>
  <c r="P241"/>
  <c r="Q241"/>
  <c r="R241"/>
  <c r="S241"/>
  <c r="U241"/>
  <c r="V241"/>
  <c r="W241"/>
  <c r="X241"/>
  <c r="Y241"/>
  <c r="Y245" s="1"/>
  <c r="Z241"/>
  <c r="Z245" s="1"/>
  <c r="Z246" s="1"/>
  <c r="AA241"/>
  <c r="I243"/>
  <c r="K243"/>
  <c r="N243"/>
  <c r="Q243"/>
  <c r="R243"/>
  <c r="S243"/>
  <c r="U243"/>
  <c r="V243"/>
  <c r="W243"/>
  <c r="H23" l="1"/>
  <c r="H24" s="1"/>
  <c r="H25" s="1"/>
  <c r="H26" s="1"/>
  <c r="H27" s="1"/>
  <c r="H28" s="1"/>
  <c r="H29" s="1"/>
  <c r="H30" s="1"/>
  <c r="H31" s="1"/>
  <c r="H32" s="1"/>
  <c r="H33" s="1"/>
  <c r="H34" s="1"/>
  <c r="H35" s="1"/>
  <c r="H36" s="1"/>
  <c r="H37" s="1"/>
  <c r="H38" s="1"/>
  <c r="H39" s="1"/>
  <c r="H40" s="1"/>
  <c r="H41" s="1"/>
  <c r="H42" s="1"/>
  <c r="H43" s="1"/>
  <c r="H44" s="1"/>
  <c r="H45" s="1"/>
  <c r="H46" s="1"/>
  <c r="H47" s="1"/>
  <c r="H48" s="1"/>
  <c r="H49" s="1"/>
  <c r="H50" s="1"/>
  <c r="H51" s="1"/>
  <c r="H52" s="1"/>
  <c r="H53" s="1"/>
  <c r="H54" s="1"/>
  <c r="S245"/>
  <c r="S246" s="1"/>
  <c r="L245"/>
  <c r="L246" s="1"/>
  <c r="U245"/>
  <c r="U246" s="1"/>
  <c r="R245"/>
  <c r="R246" s="1"/>
  <c r="X245"/>
  <c r="X246" s="1"/>
  <c r="W245"/>
  <c r="W246" s="1"/>
  <c r="K245"/>
  <c r="K246" s="1"/>
  <c r="B29" i="9"/>
  <c r="E29" s="1"/>
  <c r="B19"/>
  <c r="K11" i="19"/>
  <c r="I12"/>
  <c r="K12" s="1"/>
  <c r="B35" i="9"/>
  <c r="I84" i="13"/>
  <c r="C35" i="9"/>
  <c r="I31" i="21"/>
  <c r="G50" i="13"/>
  <c r="G34"/>
  <c r="G53" s="1"/>
  <c r="K22" i="20"/>
  <c r="D33" i="9"/>
  <c r="T78"/>
  <c r="G24" i="19"/>
  <c r="K24" s="1"/>
  <c r="K38" s="1"/>
  <c r="K23"/>
  <c r="K37" s="1"/>
  <c r="I36"/>
  <c r="K36" s="1"/>
  <c r="D37"/>
  <c r="O84" i="13"/>
  <c r="AG76" i="9"/>
  <c r="D19"/>
  <c r="I78"/>
  <c r="H19" s="1"/>
  <c r="D29"/>
  <c r="I13" i="20"/>
  <c r="K13" s="1"/>
  <c r="K12"/>
  <c r="G47" i="21"/>
  <c r="G32"/>
  <c r="G50" s="1"/>
  <c r="E33" i="9"/>
  <c r="O33" i="13"/>
  <c r="AH76" i="9"/>
  <c r="C37"/>
  <c r="C29"/>
  <c r="AA245" i="3"/>
  <c r="AA246" s="1"/>
  <c r="B3" i="7"/>
  <c r="AE76" i="9"/>
  <c r="AE55"/>
  <c r="B14" s="1"/>
  <c r="E84" i="21"/>
  <c r="E97" s="1"/>
  <c r="I19" i="13"/>
  <c r="I31" s="1"/>
  <c r="I33" s="1"/>
  <c r="AG60" i="9"/>
  <c r="AG52"/>
  <c r="K21" i="20"/>
  <c r="K33" s="1"/>
  <c r="K34" s="1"/>
  <c r="V245" i="3"/>
  <c r="V246" s="1"/>
  <c r="N245"/>
  <c r="N246" s="1"/>
  <c r="D15" i="9"/>
  <c r="E15" s="1"/>
  <c r="P243" i="3" s="1"/>
  <c r="C3" i="7"/>
  <c r="C6" s="1"/>
  <c r="D3"/>
  <c r="D6" s="1"/>
  <c r="AG73" i="9"/>
  <c r="AE64"/>
  <c r="C14" s="1"/>
  <c r="AG62"/>
  <c r="AG57"/>
  <c r="AG47"/>
  <c r="AG55" s="1"/>
  <c r="B30" s="1"/>
  <c r="Q245" i="3"/>
  <c r="Q246" s="1"/>
  <c r="I245"/>
  <c r="I246" s="1"/>
  <c r="K64" i="21"/>
  <c r="B4" i="9"/>
  <c r="E4" s="1"/>
  <c r="E8" s="1"/>
  <c r="B6" i="7"/>
  <c r="E3"/>
  <c r="E6" s="1"/>
  <c r="C9" i="1"/>
  <c r="B8"/>
  <c r="D8"/>
  <c r="K80" i="21"/>
  <c r="I80"/>
  <c r="I64"/>
  <c r="H2" i="1"/>
  <c r="H9" s="1"/>
  <c r="D2"/>
  <c r="D9" s="1"/>
  <c r="E2"/>
  <c r="E9" s="1"/>
  <c r="G2"/>
  <c r="G9" s="1"/>
  <c r="K2"/>
  <c r="K9" s="1"/>
  <c r="C2"/>
  <c r="F2"/>
  <c r="F9" s="1"/>
  <c r="I2"/>
  <c r="I9" s="1"/>
  <c r="J2"/>
  <c r="J9" s="1"/>
  <c r="B2"/>
  <c r="B9" s="1"/>
  <c r="P249" i="3" l="1"/>
  <c r="P245"/>
  <c r="P246" s="1"/>
  <c r="B37" i="9"/>
  <c r="E37" s="1"/>
  <c r="E19"/>
  <c r="T243" i="3" s="1"/>
  <c r="T245" s="1"/>
  <c r="T246" s="1"/>
  <c r="AH78" i="9"/>
  <c r="D34"/>
  <c r="D37"/>
  <c r="B31"/>
  <c r="E30"/>
  <c r="D30"/>
  <c r="D31" s="1"/>
  <c r="AG78"/>
  <c r="C38"/>
  <c r="C39" s="1"/>
  <c r="C25"/>
  <c r="C27" s="1"/>
  <c r="B38"/>
  <c r="E14"/>
  <c r="B25"/>
  <c r="D14"/>
  <c r="AE78"/>
  <c r="AG64"/>
  <c r="C30" s="1"/>
  <c r="C31" s="1"/>
  <c r="K82" i="21"/>
  <c r="M243" i="3"/>
  <c r="M245" s="1"/>
  <c r="M246" s="1"/>
  <c r="B8" i="9"/>
  <c r="I82" i="21"/>
  <c r="M2" i="1"/>
  <c r="M9"/>
  <c r="M10" s="1"/>
  <c r="O10" s="1"/>
  <c r="O243" i="3" l="1"/>
  <c r="O245" s="1"/>
  <c r="O246" s="1"/>
  <c r="E25" i="9"/>
  <c r="E27" s="1"/>
  <c r="F27" s="1"/>
  <c r="D38"/>
  <c r="D39" s="1"/>
  <c r="D25"/>
  <c r="D27" s="1"/>
  <c r="D35"/>
  <c r="E35" s="1"/>
  <c r="E34"/>
  <c r="B39"/>
  <c r="B27"/>
  <c r="E31"/>
  <c r="H140" i="3" l="1"/>
  <c r="H141" s="1"/>
  <c r="H142" s="1"/>
  <c r="H143" s="1"/>
  <c r="H144" s="1"/>
  <c r="H145" s="1"/>
  <c r="H146" s="1"/>
  <c r="H147" s="1"/>
  <c r="H148" s="1"/>
  <c r="H149" s="1"/>
  <c r="H150" s="1"/>
  <c r="H151" s="1"/>
  <c r="H152" s="1"/>
  <c r="H153" s="1"/>
  <c r="H154" s="1"/>
  <c r="H155" s="1"/>
  <c r="H156" s="1"/>
  <c r="H157" s="1"/>
  <c r="H158" s="1"/>
  <c r="H159" s="1"/>
  <c r="H160" s="1"/>
  <c r="H161" s="1"/>
  <c r="H162" s="1"/>
  <c r="H163" s="1"/>
  <c r="H164" s="1"/>
  <c r="H165" s="1"/>
  <c r="H166" s="1"/>
  <c r="H167" s="1"/>
  <c r="H168" s="1"/>
  <c r="H169" s="1"/>
  <c r="H170" s="1"/>
  <c r="H171" s="1"/>
  <c r="H172" s="1"/>
  <c r="H173" s="1"/>
  <c r="H174" s="1"/>
  <c r="H175" s="1"/>
  <c r="H176" s="1"/>
  <c r="H177" s="1"/>
  <c r="H178" s="1"/>
  <c r="H179" s="1"/>
  <c r="H180" s="1"/>
  <c r="H181" s="1"/>
  <c r="H182" s="1"/>
  <c r="H183" s="1"/>
  <c r="H184" s="1"/>
  <c r="H185" s="1"/>
  <c r="H186" s="1"/>
  <c r="H187" s="1"/>
  <c r="H188" s="1"/>
  <c r="H189" s="1"/>
  <c r="H190" s="1"/>
  <c r="H191" s="1"/>
  <c r="H192" s="1"/>
  <c r="H193" s="1"/>
  <c r="H194" s="1"/>
  <c r="H195" s="1"/>
  <c r="H196" s="1"/>
  <c r="H197" s="1"/>
  <c r="H198" s="1"/>
  <c r="H199" s="1"/>
  <c r="H200" s="1"/>
  <c r="H201" s="1"/>
  <c r="H202" s="1"/>
  <c r="H203" s="1"/>
  <c r="H204" s="1"/>
  <c r="H205" s="1"/>
  <c r="H206" s="1"/>
  <c r="H207" s="1"/>
  <c r="H208" s="1"/>
  <c r="H209" s="1"/>
  <c r="H210" s="1"/>
  <c r="H211" s="1"/>
  <c r="H212" s="1"/>
  <c r="H213" s="1"/>
  <c r="H214" s="1"/>
  <c r="H215" s="1"/>
  <c r="H216" s="1"/>
  <c r="H217" s="1"/>
  <c r="H218" s="1"/>
  <c r="H219" s="1"/>
  <c r="H220" s="1"/>
  <c r="H221" s="1"/>
  <c r="H222" s="1"/>
  <c r="H223" s="1"/>
  <c r="H224" s="1"/>
  <c r="H225" s="1"/>
  <c r="H226" s="1"/>
  <c r="H227" s="1"/>
  <c r="H228" s="1"/>
  <c r="H229" s="1"/>
  <c r="H230" s="1"/>
  <c r="H231" s="1"/>
  <c r="H232" s="1"/>
  <c r="H233" s="1"/>
  <c r="H234" s="1"/>
  <c r="H235" s="1"/>
  <c r="H236" s="1"/>
  <c r="H237" s="1"/>
  <c r="H238" s="1"/>
  <c r="H239" s="1"/>
  <c r="H241" s="1"/>
  <c r="E39" i="9"/>
  <c r="E38"/>
</calcChain>
</file>

<file path=xl/sharedStrings.xml><?xml version="1.0" encoding="utf-8"?>
<sst xmlns="http://schemas.openxmlformats.org/spreadsheetml/2006/main" count="2666" uniqueCount="757">
  <si>
    <t>City</t>
  </si>
  <si>
    <t>Date</t>
  </si>
  <si>
    <t>Club</t>
  </si>
  <si>
    <t>No of Ergs</t>
  </si>
  <si>
    <t>Time Start</t>
  </si>
  <si>
    <t>Time Finish</t>
  </si>
  <si>
    <t>Price</t>
  </si>
  <si>
    <t>Xpress</t>
  </si>
  <si>
    <t>Sidney</t>
  </si>
  <si>
    <t>Champs</t>
  </si>
  <si>
    <t>gd250</t>
  </si>
  <si>
    <t>Owed</t>
  </si>
  <si>
    <t>Paid</t>
  </si>
  <si>
    <t>Total</t>
  </si>
  <si>
    <t>Niel Cobbett</t>
  </si>
  <si>
    <t>Jan Vogel</t>
  </si>
  <si>
    <t>Invoiced</t>
  </si>
  <si>
    <t>Last Date Invoiced</t>
  </si>
  <si>
    <t>Name</t>
  </si>
  <si>
    <t>Amount</t>
  </si>
  <si>
    <t>Senior/ Novice</t>
  </si>
  <si>
    <t>Graduand</t>
  </si>
  <si>
    <t>Liz Box</t>
  </si>
  <si>
    <t>Senior</t>
  </si>
  <si>
    <t>Simon Martin</t>
  </si>
  <si>
    <t>Chris Worley</t>
  </si>
  <si>
    <t>Duncan Bull</t>
  </si>
  <si>
    <t>Chris Cheel</t>
  </si>
  <si>
    <t>Jack Eyre</t>
  </si>
  <si>
    <t>yes</t>
  </si>
  <si>
    <t>George Watson</t>
  </si>
  <si>
    <t>Charlie Ferguson</t>
  </si>
  <si>
    <t>Adam Bargh</t>
  </si>
  <si>
    <t>Esther Gordon-Smith</t>
  </si>
  <si>
    <t>Eddie Surtees</t>
  </si>
  <si>
    <t>Mary Bjorkegren</t>
  </si>
  <si>
    <t>Penny Thuesen</t>
  </si>
  <si>
    <t>Lizzy Trevor</t>
  </si>
  <si>
    <t>Becky Chislett</t>
  </si>
  <si>
    <t>Katie Thornton</t>
  </si>
  <si>
    <t>Sofia Wallstrom</t>
  </si>
  <si>
    <t>Pippa Hammond</t>
  </si>
  <si>
    <t>Katie Sexton</t>
  </si>
  <si>
    <t>Vin Shen Ban</t>
  </si>
  <si>
    <t>Patrick Breen</t>
  </si>
  <si>
    <t>Paul Verhaak</t>
  </si>
  <si>
    <t>Chris Philpot</t>
  </si>
  <si>
    <t>Salman Bham</t>
  </si>
  <si>
    <t>James Harper</t>
  </si>
  <si>
    <t>Simon Holland</t>
  </si>
  <si>
    <t>Will Hanschell</t>
  </si>
  <si>
    <t>Flo Wolfe</t>
  </si>
  <si>
    <t>Hannah Meghji</t>
  </si>
  <si>
    <t>Julia Schlicht</t>
  </si>
  <si>
    <t>Chloe Hole</t>
  </si>
  <si>
    <t>Hannah Massey</t>
  </si>
  <si>
    <t>Clementine Beuvais</t>
  </si>
  <si>
    <t>Sarah Gardner</t>
  </si>
  <si>
    <t>Sajanthi Nathan</t>
  </si>
  <si>
    <t>Nicola Norman</t>
  </si>
  <si>
    <t>Apoorva Kapavarapu</t>
  </si>
  <si>
    <t>Guy Naylor</t>
  </si>
  <si>
    <t>Mike Housden</t>
  </si>
  <si>
    <t>James Jones</t>
  </si>
  <si>
    <t>Mark Lawrence</t>
  </si>
  <si>
    <t>Mash Katunina</t>
  </si>
  <si>
    <t>Chrisse Podesta</t>
  </si>
  <si>
    <t>Danny Longman</t>
  </si>
  <si>
    <t>Charlie Heron</t>
  </si>
  <si>
    <t>Tyler Hester</t>
  </si>
  <si>
    <t>Thom Jenkins</t>
  </si>
  <si>
    <t>Will Lavender</t>
  </si>
  <si>
    <t>Novice</t>
  </si>
  <si>
    <t>Mike Gardiner</t>
  </si>
  <si>
    <t>Adam Southgate</t>
  </si>
  <si>
    <t>Jonny Thompson</t>
  </si>
  <si>
    <t>Summer Term 08</t>
  </si>
  <si>
    <t>Term</t>
  </si>
  <si>
    <t>Received</t>
  </si>
  <si>
    <t>Summer 08</t>
  </si>
  <si>
    <t>Graduand Correction</t>
  </si>
  <si>
    <t>Mich 08</t>
  </si>
  <si>
    <t>Lent 09</t>
  </si>
  <si>
    <t>Summer 09</t>
  </si>
  <si>
    <t>Date recieved</t>
  </si>
  <si>
    <t>Subs</t>
  </si>
  <si>
    <t>JCR Contribution</t>
  </si>
  <si>
    <t>Date Received</t>
  </si>
  <si>
    <t>Brought Forward</t>
  </si>
  <si>
    <t>Contact</t>
  </si>
  <si>
    <t>Boat</t>
  </si>
  <si>
    <t>Next Payment</t>
  </si>
  <si>
    <t>Date due</t>
  </si>
  <si>
    <t>Last Payment</t>
  </si>
  <si>
    <t>Date Due</t>
  </si>
  <si>
    <t>Outstanding</t>
  </si>
  <si>
    <t>Address</t>
  </si>
  <si>
    <t>Scull</t>
  </si>
  <si>
    <t>Signed</t>
  </si>
  <si>
    <t>Racking Agreement</t>
  </si>
  <si>
    <t>2009</t>
  </si>
  <si>
    <t>2008</t>
  </si>
  <si>
    <t>Amount Invoiced</t>
  </si>
  <si>
    <t>Amount Received</t>
  </si>
  <si>
    <t>Men's Boat Club</t>
  </si>
  <si>
    <t>Women's Boat Club</t>
  </si>
  <si>
    <t>Kat</t>
  </si>
  <si>
    <t>Michalmas</t>
  </si>
  <si>
    <t>Lent</t>
  </si>
  <si>
    <t>Easter</t>
  </si>
  <si>
    <t>No. Outings per Week</t>
  </si>
  <si>
    <t>No. Ergs per week</t>
  </si>
  <si>
    <t>No. Coached outings</t>
  </si>
  <si>
    <t>No. Coached Ergs</t>
  </si>
  <si>
    <t>1st IV</t>
  </si>
  <si>
    <t>2nd IV</t>
  </si>
  <si>
    <t>3rd IV</t>
  </si>
  <si>
    <t>1st VIII</t>
  </si>
  <si>
    <t>No. of Weeks</t>
  </si>
  <si>
    <t>Price per Water session</t>
  </si>
  <si>
    <t>Price Per Erg Session</t>
  </si>
  <si>
    <t>M1</t>
  </si>
  <si>
    <t>M2</t>
  </si>
  <si>
    <t>M3</t>
  </si>
  <si>
    <t>Fellows</t>
  </si>
  <si>
    <t>R1</t>
  </si>
  <si>
    <t>NM1</t>
  </si>
  <si>
    <t>NM2</t>
  </si>
  <si>
    <t>NM3</t>
  </si>
  <si>
    <t>NW1</t>
  </si>
  <si>
    <t>NW2</t>
  </si>
  <si>
    <t>NW3</t>
  </si>
  <si>
    <t>W1</t>
  </si>
  <si>
    <t>W IV</t>
  </si>
  <si>
    <t>W2</t>
  </si>
  <si>
    <t>W3</t>
  </si>
  <si>
    <t>Income</t>
  </si>
  <si>
    <t>Membership</t>
  </si>
  <si>
    <t>Equipment Hire</t>
  </si>
  <si>
    <t>Expenditure</t>
  </si>
  <si>
    <t>Insurance</t>
  </si>
  <si>
    <t>Fines</t>
  </si>
  <si>
    <t>Race Entry</t>
  </si>
  <si>
    <t>Maintenance</t>
  </si>
  <si>
    <t>Transport</t>
  </si>
  <si>
    <t>Kit</t>
  </si>
  <si>
    <t>Coaching Costs</t>
  </si>
  <si>
    <t>Training</t>
  </si>
  <si>
    <t>Misc</t>
  </si>
  <si>
    <t>Ents</t>
  </si>
  <si>
    <t>Henley</t>
  </si>
  <si>
    <t>No People</t>
  </si>
  <si>
    <t>-</t>
  </si>
  <si>
    <t>Carried Forward</t>
  </si>
  <si>
    <t>Maintance</t>
  </si>
  <si>
    <t>Asset Purchases</t>
  </si>
  <si>
    <t>Exceptional</t>
  </si>
  <si>
    <t>Expenses</t>
  </si>
  <si>
    <t>Notes</t>
  </si>
  <si>
    <t>Senior Subs</t>
  </si>
  <si>
    <t xml:space="preserve">ARA </t>
  </si>
  <si>
    <t>Cam Conservators</t>
  </si>
  <si>
    <t>Lovat</t>
  </si>
  <si>
    <t>Check</t>
  </si>
  <si>
    <t>Capital Payment</t>
  </si>
  <si>
    <t>One- off correction</t>
  </si>
  <si>
    <t>On last Year's levels</t>
  </si>
  <si>
    <t>See Break-Down</t>
  </si>
  <si>
    <t>Race</t>
  </si>
  <si>
    <t>Men</t>
  </si>
  <si>
    <t>Women</t>
  </si>
  <si>
    <t>Freshers Fair + BBQ</t>
  </si>
  <si>
    <t>Misc.</t>
  </si>
  <si>
    <t>See Individual breakdowns for more information</t>
  </si>
  <si>
    <t>Funded by Members- Working Capital Spike</t>
  </si>
  <si>
    <t>Fresher's Fair + BBQ</t>
  </si>
  <si>
    <t>Fresher's Fair</t>
  </si>
  <si>
    <t>Publicity</t>
  </si>
  <si>
    <t>Sweets</t>
  </si>
  <si>
    <t>Erg Transport</t>
  </si>
  <si>
    <t>Fresher's BBQ</t>
  </si>
  <si>
    <t>Expected Numbers</t>
  </si>
  <si>
    <t>Food Budget per person</t>
  </si>
  <si>
    <t>Drink per Person</t>
  </si>
  <si>
    <t>Total Food Budget</t>
  </si>
  <si>
    <t>Total Drink Budget</t>
  </si>
  <si>
    <t>Total Food &amp; Drink Budget</t>
  </si>
  <si>
    <t>Tub Hire</t>
  </si>
  <si>
    <t>Senior Contributions</t>
  </si>
  <si>
    <t>Of Which Seniors</t>
  </si>
  <si>
    <t>Invoice No.</t>
  </si>
  <si>
    <t>Description</t>
  </si>
  <si>
    <t>Cheque No.</t>
  </si>
  <si>
    <t>Paid Date</t>
  </si>
  <si>
    <t>Reconciled</t>
  </si>
  <si>
    <t>Bank (current)</t>
  </si>
  <si>
    <t>Bank Charges</t>
  </si>
  <si>
    <t>Rack/Boat/Equipment Hire</t>
  </si>
  <si>
    <t>Coaching costs</t>
  </si>
  <si>
    <t>Amount Budgeted</t>
  </si>
  <si>
    <t>Total of Budget Left</t>
  </si>
  <si>
    <t>% Budget Left</t>
  </si>
  <si>
    <t>N/A</t>
  </si>
  <si>
    <t>Paid Back</t>
  </si>
  <si>
    <t>Y/N</t>
  </si>
  <si>
    <t>Cheque no.</t>
  </si>
  <si>
    <t>Category</t>
  </si>
  <si>
    <t>Rack Hire</t>
  </si>
  <si>
    <t>Autumn Head</t>
  </si>
  <si>
    <t>Winter Head</t>
  </si>
  <si>
    <t>Fairburns</t>
  </si>
  <si>
    <t>Queens Ergs</t>
  </si>
  <si>
    <t>Uni IVs</t>
  </si>
  <si>
    <t>Claire Novices</t>
  </si>
  <si>
    <t>Cost per seat</t>
  </si>
  <si>
    <t>Last Year cost</t>
  </si>
  <si>
    <t>Guess</t>
  </si>
  <si>
    <t>Head to Head</t>
  </si>
  <si>
    <t>Head of Nene</t>
  </si>
  <si>
    <t>Robinson Head</t>
  </si>
  <si>
    <t>Pembrooke Regatta</t>
  </si>
  <si>
    <t>Lents</t>
  </si>
  <si>
    <t>HORR/WHORR</t>
  </si>
  <si>
    <t>Last Year Cost</t>
  </si>
  <si>
    <t>Small Boats</t>
  </si>
  <si>
    <t>Head of Cam</t>
  </si>
  <si>
    <t>Champs Head</t>
  </si>
  <si>
    <t>Rad Mile</t>
  </si>
  <si>
    <t>Mays</t>
  </si>
  <si>
    <t>Minimal based on last year</t>
  </si>
  <si>
    <t>Costs associated with training off cam</t>
  </si>
  <si>
    <t>Capital Account Cost</t>
  </si>
  <si>
    <t>Yes</t>
  </si>
  <si>
    <t>Item</t>
  </si>
  <si>
    <t>Date Paid</t>
  </si>
  <si>
    <t>Committee Stash</t>
  </si>
  <si>
    <t>Pay-in Slip no</t>
  </si>
  <si>
    <t>Cash</t>
  </si>
  <si>
    <t>Cheque</t>
  </si>
  <si>
    <t>Charles Heron</t>
  </si>
  <si>
    <t>Penny Thusen</t>
  </si>
  <si>
    <t>Scott Fury</t>
  </si>
  <si>
    <t>Men Price</t>
  </si>
  <si>
    <t>Women Price</t>
  </si>
  <si>
    <t>Men Coaching</t>
  </si>
  <si>
    <t>Men Racing</t>
  </si>
  <si>
    <t>Men Total</t>
  </si>
  <si>
    <t>Women Coaching</t>
  </si>
  <si>
    <t>Women Racing</t>
  </si>
  <si>
    <t>Women Total</t>
  </si>
  <si>
    <t>Other Coaching</t>
  </si>
  <si>
    <t>Other Racing</t>
  </si>
  <si>
    <t>Total Other</t>
  </si>
  <si>
    <t>Subs for Year</t>
  </si>
  <si>
    <t>Cheque/ Pay-in No.</t>
  </si>
  <si>
    <t>Blades</t>
  </si>
  <si>
    <t>Slush</t>
  </si>
  <si>
    <t>P'Brough Weekend</t>
  </si>
  <si>
    <t>Price per Person on lake inc. clubhouse</t>
  </si>
  <si>
    <t>No people (per day)</t>
  </si>
  <si>
    <t>Cost</t>
  </si>
  <si>
    <t>Charge per day per person</t>
  </si>
  <si>
    <t>Total Cost to BC</t>
  </si>
  <si>
    <t>Transport (student)</t>
  </si>
  <si>
    <t>P'Brough Transport</t>
  </si>
  <si>
    <t>Laura Giles</t>
  </si>
  <si>
    <t>Sofia Walstrom</t>
  </si>
  <si>
    <t>Lizzie Wann</t>
  </si>
  <si>
    <t>Li Ling</t>
  </si>
  <si>
    <t>Charlotte Kendall</t>
  </si>
  <si>
    <t>Sarah De Lacy</t>
  </si>
  <si>
    <t>Emmie Hodges</t>
  </si>
  <si>
    <t>Jo Hardley</t>
  </si>
  <si>
    <t>Farhana Amandi</t>
  </si>
  <si>
    <t>Marcel Omachel</t>
  </si>
  <si>
    <t>Mike Upton</t>
  </si>
  <si>
    <t>Leland Burns</t>
  </si>
  <si>
    <t>Malte Feldmann</t>
  </si>
  <si>
    <t>Yohan Sanmugan</t>
  </si>
  <si>
    <t>Andy Pushalik</t>
  </si>
  <si>
    <t>Jonny Bassett</t>
  </si>
  <si>
    <t>Caroline Saunders</t>
  </si>
  <si>
    <t>Seth Bresnett</t>
  </si>
  <si>
    <t>James Pearson</t>
  </si>
  <si>
    <t>Valerie The</t>
  </si>
  <si>
    <t>Lucy Boulding</t>
  </si>
  <si>
    <t>Charlotte Smith</t>
  </si>
  <si>
    <t>Rebecca Hutchinson</t>
  </si>
  <si>
    <t>Fran Knight</t>
  </si>
  <si>
    <t>Holly Braine</t>
  </si>
  <si>
    <t>Lucy Griffin</t>
  </si>
  <si>
    <t>Sabrina Bezzaa</t>
  </si>
  <si>
    <t>Rachel Stubbins</t>
  </si>
  <si>
    <t>Adam Brewer</t>
  </si>
  <si>
    <t>NW2/NM1</t>
  </si>
  <si>
    <t>In yong Hwang</t>
  </si>
  <si>
    <t>Xi Jin</t>
  </si>
  <si>
    <t>Spenser Ong</t>
  </si>
  <si>
    <t>David Garner</t>
  </si>
  <si>
    <t>Kasim Khorasanee</t>
  </si>
  <si>
    <t>Qasim Gulamhusein</t>
  </si>
  <si>
    <t>Raymond Li</t>
  </si>
  <si>
    <t>NM1/NM2</t>
  </si>
  <si>
    <t>Abarna Ramanathan</t>
  </si>
  <si>
    <t>Michael Furman + 1</t>
  </si>
  <si>
    <t>+1 (fiancee)</t>
  </si>
  <si>
    <t>Linked</t>
  </si>
  <si>
    <t>Writedown due to duncan owing money and BC owing Duncan money</t>
  </si>
  <si>
    <t>VIRTUAL MONEY</t>
  </si>
  <si>
    <t>Rob Courtney</t>
  </si>
  <si>
    <t>Novice Stash</t>
  </si>
  <si>
    <t>Caroline Sanders</t>
  </si>
  <si>
    <t>Nick Zhang</t>
  </si>
  <si>
    <t>Yohan Sanmugam</t>
  </si>
  <si>
    <t>Valerie Teh</t>
  </si>
  <si>
    <t>Rebecca Hutichinson</t>
  </si>
  <si>
    <t>Rachael Stubbins</t>
  </si>
  <si>
    <t>Ali Donaghy</t>
  </si>
  <si>
    <t>Mike Howe</t>
  </si>
  <si>
    <t>In-Yong Hwang</t>
  </si>
  <si>
    <t>Spencer Ong</t>
  </si>
  <si>
    <t>Amanda Foan</t>
  </si>
  <si>
    <t>Li Ling Quek</t>
  </si>
  <si>
    <t>Sarah de Lacy</t>
  </si>
  <si>
    <t>Farhana Ahmadi</t>
  </si>
  <si>
    <t>Animish Sivaramakrishnan</t>
  </si>
  <si>
    <t>Michael Furman</t>
  </si>
  <si>
    <t>Andy Pushakk</t>
  </si>
  <si>
    <t>Alex Ngoi</t>
  </si>
  <si>
    <t>Oliver Staves</t>
  </si>
  <si>
    <t>Ben Gaston</t>
  </si>
  <si>
    <t>Scott Furey</t>
  </si>
  <si>
    <t>Simon Speksnijder</t>
  </si>
  <si>
    <t>Lucas Perez-Trujillo</t>
  </si>
  <si>
    <t>Against Money Owed to Student</t>
  </si>
  <si>
    <t>boat</t>
  </si>
  <si>
    <t>name</t>
  </si>
  <si>
    <t>Boat Number</t>
  </si>
  <si>
    <t>manufacturer</t>
  </si>
  <si>
    <t>Year</t>
  </si>
  <si>
    <t>Value</t>
  </si>
  <si>
    <t>If selling ,what we'd expect to get</t>
  </si>
  <si>
    <t>If replacing, what we'd have to pay</t>
  </si>
  <si>
    <t>men 1st 8</t>
  </si>
  <si>
    <t>Bill Windham</t>
  </si>
  <si>
    <t>CCO806</t>
  </si>
  <si>
    <t>Janousek</t>
  </si>
  <si>
    <t>men 2nd 8</t>
  </si>
  <si>
    <t>CH5</t>
  </si>
  <si>
    <t>CCO801</t>
  </si>
  <si>
    <t>men 3rd 8</t>
  </si>
  <si>
    <t>Sir Hans</t>
  </si>
  <si>
    <t>CCO800</t>
  </si>
  <si>
    <t>men 4th 8</t>
  </si>
  <si>
    <t>Mike Muir-Smith</t>
  </si>
  <si>
    <t>CCO805</t>
  </si>
  <si>
    <t>women 1st 8</t>
  </si>
  <si>
    <t>Professor Malcolm Bowie</t>
  </si>
  <si>
    <t>CCO807</t>
  </si>
  <si>
    <t>women 2nd 8</t>
  </si>
  <si>
    <t>The Beagle</t>
  </si>
  <si>
    <t>CCO804</t>
  </si>
  <si>
    <t>women 3rd 8</t>
  </si>
  <si>
    <t>Lady K</t>
  </si>
  <si>
    <t>CCO803</t>
  </si>
  <si>
    <t>Aylings</t>
  </si>
  <si>
    <t>Novice A</t>
  </si>
  <si>
    <t>Nick English</t>
  </si>
  <si>
    <t>CCO802</t>
  </si>
  <si>
    <t>Burgashell</t>
  </si>
  <si>
    <t>men 1st 4</t>
  </si>
  <si>
    <t>Alan Munro</t>
  </si>
  <si>
    <t>CCO400</t>
  </si>
  <si>
    <t>men 2nd 4</t>
  </si>
  <si>
    <t>Henry Benson</t>
  </si>
  <si>
    <t>CCO403</t>
  </si>
  <si>
    <t>women 1st 4</t>
  </si>
  <si>
    <t>Mary Munro</t>
  </si>
  <si>
    <t>CCO401</t>
  </si>
  <si>
    <t>women 2nd 4</t>
  </si>
  <si>
    <t>Rosemary Radcliffe CBE</t>
  </si>
  <si>
    <t>CCO402</t>
  </si>
  <si>
    <t>Men 2-</t>
  </si>
  <si>
    <t>Owen Patman</t>
  </si>
  <si>
    <t>CCO202</t>
  </si>
  <si>
    <t>Sims</t>
  </si>
  <si>
    <t xml:space="preserve">M   2-/2x </t>
  </si>
  <si>
    <t>Wilma</t>
  </si>
  <si>
    <t>CCO201</t>
  </si>
  <si>
    <t>W  2-</t>
  </si>
  <si>
    <t>Wooster</t>
  </si>
  <si>
    <t>CCO200</t>
  </si>
  <si>
    <t>Novice 2x/+</t>
  </si>
  <si>
    <t>Nov Burgashell tub</t>
  </si>
  <si>
    <t>CCO203</t>
  </si>
  <si>
    <t xml:space="preserve">Burgashell </t>
  </si>
  <si>
    <t>Novice 2+</t>
  </si>
  <si>
    <t>Wooden Tub</t>
  </si>
  <si>
    <t>CCO204</t>
  </si>
  <si>
    <t>?</t>
  </si>
  <si>
    <t>scull</t>
  </si>
  <si>
    <t>Burgashell (ch99)</t>
  </si>
  <si>
    <t>CCO103</t>
  </si>
  <si>
    <t xml:space="preserve">scull </t>
  </si>
  <si>
    <t>Richard Dawson</t>
  </si>
  <si>
    <t>CCO100</t>
  </si>
  <si>
    <t xml:space="preserve">Winracing </t>
  </si>
  <si>
    <t>owned since 2005</t>
  </si>
  <si>
    <t>wooden</t>
  </si>
  <si>
    <t>CCO101</t>
  </si>
  <si>
    <t>Roland Sims</t>
  </si>
  <si>
    <t>Restricted 1x</t>
  </si>
  <si>
    <t>Tracy</t>
  </si>
  <si>
    <t>CCO102</t>
  </si>
  <si>
    <t>clinker</t>
  </si>
  <si>
    <t>built on site 1960/70</t>
  </si>
  <si>
    <t>Oars</t>
  </si>
  <si>
    <t>x9</t>
  </si>
  <si>
    <t>Concept2</t>
  </si>
  <si>
    <t>TLO</t>
  </si>
  <si>
    <t>m2</t>
  </si>
  <si>
    <t>x8</t>
  </si>
  <si>
    <t>m3</t>
  </si>
  <si>
    <t>m4</t>
  </si>
  <si>
    <t>m5</t>
  </si>
  <si>
    <t>x7</t>
  </si>
  <si>
    <t>w1</t>
  </si>
  <si>
    <t>x10</t>
  </si>
  <si>
    <t>w2</t>
  </si>
  <si>
    <t>w3</t>
  </si>
  <si>
    <t>sculls</t>
  </si>
  <si>
    <t>x5 pairs</t>
  </si>
  <si>
    <t>De Graff Trailer</t>
  </si>
  <si>
    <t>De Graff</t>
  </si>
  <si>
    <t>new 6200</t>
  </si>
  <si>
    <t>Cox boxes</t>
  </si>
  <si>
    <t>x6</t>
  </si>
  <si>
    <t xml:space="preserve"> 4 x NK, 2 x RowData</t>
  </si>
  <si>
    <t>new 3600</t>
  </si>
  <si>
    <t>3600 (rarely available secondhand)</t>
  </si>
  <si>
    <t>Speedcoach</t>
  </si>
  <si>
    <t>Ergos</t>
  </si>
  <si>
    <t>Concept2 model C</t>
  </si>
  <si>
    <t>Rowperfect</t>
  </si>
  <si>
    <t>RowPerfect</t>
  </si>
  <si>
    <t>Bought 2005</t>
  </si>
  <si>
    <t>Stroke coaches</t>
  </si>
  <si>
    <t>Megaphones inc 1 mini</t>
  </si>
  <si>
    <t>5 pairs</t>
  </si>
  <si>
    <t>Slings</t>
  </si>
  <si>
    <t>2 sets</t>
  </si>
  <si>
    <t>Radios (coach/cox)</t>
  </si>
  <si>
    <t>Sliders</t>
  </si>
  <si>
    <t>Lifejackets</t>
  </si>
  <si>
    <t>TV &amp; Video &amp; 2no DVD player</t>
  </si>
  <si>
    <t>Secondhand 2006</t>
  </si>
  <si>
    <t>Throwbags</t>
  </si>
  <si>
    <t>Video camera</t>
  </si>
  <si>
    <t>TOTAL</t>
  </si>
  <si>
    <t>Last Period End Date</t>
  </si>
  <si>
    <t>Year Transport</t>
  </si>
  <si>
    <t>Year Training</t>
  </si>
  <si>
    <t>Budget</t>
  </si>
  <si>
    <t>Already Spent</t>
  </si>
  <si>
    <t>Left</t>
  </si>
  <si>
    <t>Coaches</t>
  </si>
  <si>
    <t>Accomodation</t>
  </si>
  <si>
    <t>Students Transport</t>
  </si>
  <si>
    <t>From Capital A/C</t>
  </si>
  <si>
    <t>Transport Budget</t>
  </si>
  <si>
    <t>Training Budget</t>
  </si>
  <si>
    <t>Coaching Budget</t>
  </si>
  <si>
    <t>From Excess Current Proceeds</t>
  </si>
  <si>
    <t>CURRENT ACCOUNT £</t>
  </si>
  <si>
    <t>ACTUAL Opening Balance</t>
  </si>
  <si>
    <t>Variance</t>
  </si>
  <si>
    <t>Comments</t>
  </si>
  <si>
    <t>INCOME</t>
  </si>
  <si>
    <t>Club subs</t>
  </si>
  <si>
    <t>Equipment hire</t>
  </si>
  <si>
    <t>JCR contribution</t>
  </si>
  <si>
    <t>EXPENDITURE</t>
  </si>
  <si>
    <t>Training Costs</t>
  </si>
  <si>
    <t>Coaching</t>
  </si>
  <si>
    <t>NET CASHFLOW</t>
  </si>
  <si>
    <t>ACTUAL Closing Balance</t>
  </si>
  <si>
    <t>PROJECTED RECONCILIATIONS</t>
  </si>
  <si>
    <t>£</t>
  </si>
  <si>
    <t>NOTES</t>
  </si>
  <si>
    <t>Amounts due to account</t>
  </si>
  <si>
    <t>Amounts due from the account</t>
  </si>
  <si>
    <t>Money owed to capital</t>
  </si>
  <si>
    <t>Money owed for transport</t>
  </si>
  <si>
    <t>Money owed for payables</t>
  </si>
  <si>
    <t>PROJECTED NET CASHFLOW</t>
  </si>
  <si>
    <t>PROJECTED Closing Balance after amounts due</t>
  </si>
  <si>
    <t>FY BUDGET</t>
  </si>
  <si>
    <t>T1 BUDGET</t>
  </si>
  <si>
    <t>T1 ACTUAL</t>
  </si>
  <si>
    <r>
      <t>T1: 1</t>
    </r>
    <r>
      <rPr>
        <vertAlign val="superscript"/>
        <sz val="12"/>
        <color indexed="9"/>
        <rFont val="Verdana"/>
        <family val="2"/>
      </rPr>
      <t>st</t>
    </r>
    <r>
      <rPr>
        <sz val="12"/>
        <color indexed="9"/>
        <rFont val="Verdana"/>
        <family val="2"/>
      </rPr>
      <t xml:space="preserve"> Septermber 2008- 31</t>
    </r>
    <r>
      <rPr>
        <vertAlign val="superscript"/>
        <sz val="12"/>
        <color indexed="9"/>
        <rFont val="Verdana"/>
        <family val="2"/>
      </rPr>
      <t>st</t>
    </r>
    <r>
      <rPr>
        <sz val="12"/>
        <color indexed="9"/>
        <rFont val="Verdana"/>
        <family val="2"/>
      </rPr>
      <t xml:space="preserve"> December 2008</t>
    </r>
  </si>
  <si>
    <t>Subs are down this term due to not taking account of Graduand subs being paid in T3 and will be in T2 due to membership not being as great as expected</t>
  </si>
  <si>
    <t>Cash Correction</t>
  </si>
  <si>
    <t>Inconsistancy with bank account reconsiled by one off cash correction, has built up over time</t>
  </si>
  <si>
    <t>Not predicted to occur in T1</t>
  </si>
  <si>
    <t>ARA Membership not predicetd for T1</t>
  </si>
  <si>
    <t>Real figure is £216, rest is owed by students</t>
  </si>
  <si>
    <t>Overspend due to not correctly anticipating cost of Peterbrough weekend</t>
  </si>
  <si>
    <t>From May term, fines from T1 (paid in T2) are £</t>
  </si>
  <si>
    <t>Owed by Students</t>
  </si>
  <si>
    <t>Money owed by students for Kit</t>
  </si>
  <si>
    <t>Money owed by students for Transport</t>
  </si>
  <si>
    <t>08-09</t>
  </si>
  <si>
    <t>Greater than expected income, predicted for T1 much greater than for years budget</t>
  </si>
  <si>
    <t>Racing Budget</t>
  </si>
  <si>
    <t>Breakdown for races</t>
  </si>
  <si>
    <t>Actual Coaching</t>
  </si>
  <si>
    <t>Actual Racing</t>
  </si>
  <si>
    <t>Totals</t>
  </si>
  <si>
    <t>Mich</t>
  </si>
  <si>
    <t>Inca 3 outings @20</t>
  </si>
  <si>
    <t>2 IVs</t>
  </si>
  <si>
    <t>Neil- 11@£30, 1 Day P'brough (50), 2 half days fro training camp 80</t>
  </si>
  <si>
    <t>1 VIII, 1 Scull</t>
  </si>
  <si>
    <t>Uni Ivs</t>
  </si>
  <si>
    <t>Renae- 7 outings @30</t>
  </si>
  <si>
    <t>3 IVs</t>
  </si>
  <si>
    <t>Gordon x 2</t>
  </si>
  <si>
    <t>1 Senior VIII, 3 Novice VIII and 2 senior IV</t>
  </si>
  <si>
    <t>Queens ergs</t>
  </si>
  <si>
    <t>Andy Nield- Tubbing fellows x 2</t>
  </si>
  <si>
    <t>3 Mens</t>
  </si>
  <si>
    <t>Clare Novices</t>
  </si>
  <si>
    <t>3 Novice VIII</t>
  </si>
  <si>
    <t>IV's Head</t>
  </si>
  <si>
    <t>1 IV</t>
  </si>
  <si>
    <t>Surplus</t>
  </si>
  <si>
    <t>H2H</t>
  </si>
  <si>
    <t>HORR</t>
  </si>
  <si>
    <t>Inca x9</t>
  </si>
  <si>
    <t>1 VIII</t>
  </si>
  <si>
    <t>Jimmy</t>
  </si>
  <si>
    <t>2 VIII</t>
  </si>
  <si>
    <t>Renae x1</t>
  </si>
  <si>
    <t>1 Senior VIII, 2 novice VIII</t>
  </si>
  <si>
    <t>2 Womens</t>
  </si>
  <si>
    <t>2 Novice VIII</t>
  </si>
  <si>
    <t>WEHORR</t>
  </si>
  <si>
    <t>T2 Mens Coaching</t>
  </si>
  <si>
    <t>T2 Womens Coaching</t>
  </si>
  <si>
    <t>T1 Excess Mens Coaching</t>
  </si>
  <si>
    <t>T1 Excess Womens Coaching</t>
  </si>
  <si>
    <t>Budgted</t>
  </si>
  <si>
    <t>Variance Expected</t>
  </si>
  <si>
    <t>Variance Observed</t>
  </si>
  <si>
    <t>Jimmy- 3 outings @25, 1 erg '15, 2 petebrough days @60</t>
  </si>
  <si>
    <t>Freshers Costs</t>
  </si>
  <si>
    <t>Income from capital</t>
  </si>
  <si>
    <t>Interest from period</t>
  </si>
  <si>
    <t>Possibility of overspend during year</t>
  </si>
  <si>
    <t>Owed by Alumni for BC Dinners</t>
  </si>
  <si>
    <t>Lower than budgeted, may be tight in coming periods</t>
  </si>
  <si>
    <t>Overspend due to unforseen costs from freshers tubbing</t>
  </si>
  <si>
    <t>Invoiced £1808, so far have received £724.50</t>
  </si>
  <si>
    <t>Have received £430</t>
  </si>
  <si>
    <t>Training Camp</t>
  </si>
  <si>
    <t>Invoiced to Marleine</t>
  </si>
  <si>
    <t>Transport to WEHORR</t>
  </si>
  <si>
    <t>Darwin</t>
  </si>
  <si>
    <t>Clare Hall</t>
  </si>
  <si>
    <t>Wolfson</t>
  </si>
  <si>
    <t>Roger Silk</t>
  </si>
  <si>
    <t>Rebecca Dowbiggin</t>
  </si>
  <si>
    <t>Fe Knights (4 @ £15</t>
  </si>
  <si>
    <t>Jimmy (11 Outings @25, 6 ergs @15)</t>
  </si>
  <si>
    <t>Entry Cancelled</t>
  </si>
  <si>
    <t>Inka</t>
  </si>
  <si>
    <t>No entries</t>
  </si>
  <si>
    <t>3 VIII</t>
  </si>
  <si>
    <t>Newnham Short</t>
  </si>
  <si>
    <t>Brian</t>
  </si>
  <si>
    <t>99's Spring Regatta</t>
  </si>
  <si>
    <t>No Entries</t>
  </si>
  <si>
    <t>1 2-</t>
  </si>
  <si>
    <t>Jimmy (13 Outings @25, 3 ergs @ 15)</t>
  </si>
  <si>
    <t>4 VIII</t>
  </si>
  <si>
    <t>STCS</t>
  </si>
  <si>
    <t>1 pair (16), 2 sculls (8 each)</t>
  </si>
  <si>
    <t>5 VIII</t>
  </si>
  <si>
    <t>1 VIII, still waiting for return of £40</t>
  </si>
  <si>
    <t>Jimmy (5 Outings)</t>
  </si>
  <si>
    <t>Roger Silk- 10 Outings</t>
  </si>
  <si>
    <t>Shane O' Mara</t>
  </si>
  <si>
    <t>City Sprints</t>
  </si>
  <si>
    <t>2 1X, 1 2-</t>
  </si>
  <si>
    <t>CAPITAL ACCOUNT</t>
  </si>
  <si>
    <t>T1: 1st Septermber 2008- 31st December 2008</t>
  </si>
  <si>
    <t>YTD</t>
  </si>
  <si>
    <t>PWC Sponsorship</t>
  </si>
  <si>
    <t>Contract renewed for £3000</t>
  </si>
  <si>
    <t>Blades Subs</t>
  </si>
  <si>
    <t>Other donations</t>
  </si>
  <si>
    <t>Although removed to current final few cheques going through however is very large</t>
  </si>
  <si>
    <t>Boat refurbishment</t>
  </si>
  <si>
    <t>New blades</t>
  </si>
  <si>
    <t>New boats</t>
  </si>
  <si>
    <t>New Ergs</t>
  </si>
  <si>
    <t>Boathouse work</t>
  </si>
  <si>
    <t>Other kit</t>
  </si>
  <si>
    <t>Signage</t>
  </si>
  <si>
    <t>Alumni costs</t>
  </si>
  <si>
    <t>Boathouse project</t>
  </si>
  <si>
    <t>CLOSING BALANCE</t>
  </si>
  <si>
    <t>Transferred to Endowment Fund</t>
  </si>
  <si>
    <t>SP: Yet to be set up. In negotiation.</t>
  </si>
  <si>
    <t>Other Payables</t>
  </si>
  <si>
    <t>Invoice from Janousek (£534) and Henley Expense (£72)</t>
  </si>
  <si>
    <t>Amounts Due to the Account</t>
  </si>
  <si>
    <r>
      <t>Interim Period: 1</t>
    </r>
    <r>
      <rPr>
        <vertAlign val="superscript"/>
        <sz val="12"/>
        <color indexed="9"/>
        <rFont val="Verdana"/>
        <family val="2"/>
      </rPr>
      <t>st</t>
    </r>
    <r>
      <rPr>
        <sz val="12"/>
        <color indexed="9"/>
        <rFont val="Verdana"/>
        <family val="2"/>
      </rPr>
      <t xml:space="preserve"> August- 31</t>
    </r>
    <r>
      <rPr>
        <vertAlign val="superscript"/>
        <sz val="12"/>
        <color indexed="9"/>
        <rFont val="Verdana"/>
        <family val="2"/>
      </rPr>
      <t>st</t>
    </r>
    <r>
      <rPr>
        <sz val="12"/>
        <color indexed="9"/>
        <rFont val="Verdana"/>
        <family val="2"/>
      </rPr>
      <t xml:space="preserve"> August 2008</t>
    </r>
  </si>
  <si>
    <t>Done in order to align year ends between accounts</t>
  </si>
  <si>
    <t>Although removed to current final few cheques going through</t>
  </si>
  <si>
    <t>Owed to current</t>
  </si>
  <si>
    <t>Coaching not yet accounted for</t>
  </si>
  <si>
    <r>
      <t>T2: 1</t>
    </r>
    <r>
      <rPr>
        <vertAlign val="superscript"/>
        <sz val="12"/>
        <color indexed="9"/>
        <rFont val="Verdana"/>
        <family val="2"/>
      </rPr>
      <t>st</t>
    </r>
    <r>
      <rPr>
        <sz val="12"/>
        <color indexed="9"/>
        <rFont val="Verdana"/>
        <family val="2"/>
      </rPr>
      <t xml:space="preserve"> January 2009- 31</t>
    </r>
    <r>
      <rPr>
        <vertAlign val="superscript"/>
        <sz val="12"/>
        <color indexed="9"/>
        <rFont val="Verdana"/>
        <family val="2"/>
      </rPr>
      <t>st</t>
    </r>
    <r>
      <rPr>
        <sz val="12"/>
        <color indexed="9"/>
        <rFont val="Verdana"/>
        <family val="2"/>
      </rPr>
      <t xml:space="preserve"> March 2009</t>
    </r>
  </si>
  <si>
    <t>T2 BUDGET</t>
  </si>
  <si>
    <t>T2 ACTUAL</t>
  </si>
  <si>
    <t>T2 Variance</t>
  </si>
  <si>
    <t>YTD BUDGET</t>
  </si>
  <si>
    <t>YTD ACTUAL</t>
  </si>
  <si>
    <t>YTD Variance</t>
  </si>
  <si>
    <t>These are expected to be £264 under budget for FY values</t>
  </si>
  <si>
    <t>While over budget, this keeps the current account afloat and £900 more is needed by FY (excluding that already invoiced)</t>
  </si>
  <si>
    <t>This is expected to increase to £7000 for FY, £1000 better than anticipated</t>
  </si>
  <si>
    <t>Mainly over due to amounts owed by students, being recovered off their bills</t>
  </si>
  <si>
    <t>Owed by students, being recovered by college bills</t>
  </si>
  <si>
    <t>Contains all maintaince budgeted from capital account. Is expected to reach FY value of £6100 and can be kept in current</t>
  </si>
  <si>
    <t>Cost of cancelling hotel booking, camp not originally budgeted for</t>
  </si>
  <si>
    <t>All T3 expenditure needs to come in on budget, to maintain the cash neutral position of the current account</t>
  </si>
  <si>
    <t>Owed by students, being recovered off college bills</t>
  </si>
  <si>
    <t>Invoiced and expected to be received within 30 days</t>
  </si>
  <si>
    <t>Subs for T2</t>
  </si>
  <si>
    <t>T2: 1st January 2009- 31st March 2009</t>
  </si>
  <si>
    <t>Slightly down compared to budget, this is expected to increase as year carries on, £2K more needed minimum to gain positive cashflow of £8K for FY</t>
  </si>
  <si>
    <t>Being carried in current account</t>
  </si>
  <si>
    <t>Contingency</t>
  </si>
  <si>
    <t>Expected to be fully used</t>
  </si>
  <si>
    <t>Grant to Current</t>
  </si>
  <si>
    <t>This is expected to increase to £5530 by FY</t>
  </si>
  <si>
    <t xml:space="preserve">  </t>
  </si>
  <si>
    <t>Neaves Rowing service</t>
  </si>
  <si>
    <t>Michael Collinwood</t>
  </si>
  <si>
    <t>Via LTSB</t>
  </si>
  <si>
    <t>Signage, carried in current from Capital</t>
  </si>
  <si>
    <t>MMP  Anglia</t>
  </si>
  <si>
    <t>Acrylic paint ect.</t>
  </si>
  <si>
    <t>Cambridge Audio Visual</t>
  </si>
  <si>
    <t>Speakers</t>
  </si>
  <si>
    <t>026/09/2009</t>
  </si>
  <si>
    <t>Algar Signcraft Serives</t>
  </si>
  <si>
    <t>PWC signa</t>
  </si>
  <si>
    <t>Charcoal/lighters</t>
  </si>
  <si>
    <t>Food Freshers BBQ</t>
  </si>
  <si>
    <t>Capital Account</t>
  </si>
  <si>
    <t>Capital Account Grant</t>
  </si>
  <si>
    <t>Ywa</t>
  </si>
  <si>
    <t>Nick Bailey</t>
  </si>
  <si>
    <t>Cox box repair</t>
  </si>
  <si>
    <t>James Appleton</t>
  </si>
  <si>
    <t>Rob Roy BC</t>
  </si>
  <si>
    <t>C.Allen</t>
  </si>
  <si>
    <t>S.Martin</t>
  </si>
  <si>
    <t>CCBC</t>
  </si>
  <si>
    <t>JCBC</t>
  </si>
  <si>
    <t>A. Lister</t>
  </si>
  <si>
    <t>CUCBC</t>
  </si>
  <si>
    <t>Tim Rhodes</t>
  </si>
  <si>
    <t>F. Knight</t>
  </si>
  <si>
    <t>J. Appleton</t>
  </si>
  <si>
    <t>31/11/2009</t>
  </si>
  <si>
    <t>W1 coaching</t>
  </si>
  <si>
    <t>A. Nield</t>
  </si>
  <si>
    <t>ARA Affiliation</t>
  </si>
  <si>
    <t>QCBC</t>
  </si>
  <si>
    <t>C. Allen</t>
  </si>
  <si>
    <t>Cantabrigian BC</t>
  </si>
  <si>
    <t>Clare B.C.</t>
  </si>
  <si>
    <t>K. Astley</t>
  </si>
  <si>
    <t xml:space="preserve"> 02/12/2009</t>
  </si>
  <si>
    <t>Talking T's</t>
  </si>
  <si>
    <t>Gym Repair</t>
  </si>
  <si>
    <t>Momentum</t>
  </si>
  <si>
    <t>Lovat Insureres</t>
  </si>
  <si>
    <t>S.Thompson</t>
  </si>
  <si>
    <t>Inka Borschers</t>
  </si>
  <si>
    <t>G. Watson</t>
  </si>
  <si>
    <t>Shane O'mara</t>
  </si>
  <si>
    <t>Christ's College</t>
  </si>
  <si>
    <t>City of Cambridge</t>
  </si>
  <si>
    <t>NCBC</t>
  </si>
  <si>
    <t>PCBC</t>
  </si>
  <si>
    <t>Florence Butler</t>
  </si>
  <si>
    <t xml:space="preserve">Rennae Domaschenz </t>
  </si>
  <si>
    <t>WEHoRR</t>
  </si>
  <si>
    <t>Jimmy Appleton</t>
  </si>
  <si>
    <t>Charlotte Allen</t>
  </si>
  <si>
    <t>Adam Lister</t>
  </si>
  <si>
    <t>Hugh Carson</t>
  </si>
  <si>
    <t>Jen Hawton</t>
  </si>
  <si>
    <t>Stef Jacquot</t>
  </si>
  <si>
    <t>Capital</t>
  </si>
  <si>
    <t>Xpress Payment</t>
  </si>
  <si>
    <t>MRS S  LAWRENCE</t>
  </si>
  <si>
    <t>Groeneveld</t>
  </si>
  <si>
    <t>Powerhouse</t>
  </si>
  <si>
    <t>Kit Payment</t>
  </si>
  <si>
    <t>S Martin</t>
  </si>
  <si>
    <t>Conservators</t>
  </si>
  <si>
    <t>Chamption of the Thames</t>
  </si>
  <si>
    <t>Bedford Rowing Club</t>
  </si>
  <si>
    <t>YES</t>
  </si>
  <si>
    <t>D.Lodge</t>
  </si>
  <si>
    <t>henley Womens</t>
  </si>
  <si>
    <t>Peterborough RC</t>
  </si>
  <si>
    <t>Various In Payments</t>
  </si>
  <si>
    <t>Various Kit Payments</t>
  </si>
  <si>
    <t>Fred Gill</t>
  </si>
  <si>
    <t>Inka Borscherers</t>
  </si>
  <si>
    <t>MMPAnglia</t>
  </si>
  <si>
    <t>Henry Pelly</t>
  </si>
  <si>
    <t>Kit and Transport Payment</t>
  </si>
  <si>
    <t>Transport Payment</t>
  </si>
  <si>
    <t>Paint</t>
  </si>
  <si>
    <t>Trailer parts</t>
  </si>
  <si>
    <t>Paul, transfer</t>
  </si>
  <si>
    <t>Paul, kit, transfer out</t>
  </si>
  <si>
    <t>20/04/210</t>
  </si>
  <si>
    <t>St. Radegund BC</t>
  </si>
  <si>
    <t>Oarsport</t>
  </si>
  <si>
    <t>Henly Royal Regatta</t>
  </si>
  <si>
    <t>TEH VCE   Stash</t>
  </si>
  <si>
    <t>Robinson</t>
  </si>
  <si>
    <t>AS AT DECEMBER 2009</t>
  </si>
  <si>
    <t>bought 2nd hand 2004</t>
  </si>
  <si>
    <t>old!</t>
  </si>
  <si>
    <t>?1990s/2000</t>
  </si>
  <si>
    <t>1890s</t>
  </si>
  <si>
    <t>500-4000?</t>
  </si>
  <si>
    <t>3500-6000?</t>
  </si>
  <si>
    <t>1990s?</t>
  </si>
  <si>
    <t>1970s?</t>
  </si>
  <si>
    <t>Trailer steps</t>
  </si>
  <si>
    <t>NK ratemeter</t>
  </si>
  <si>
    <t>4 - 2002, 4 – 1998</t>
  </si>
  <si>
    <t>plus 150 for Fe's present</t>
  </si>
  <si>
    <t>MMP Anglia</t>
  </si>
  <si>
    <t>Cheque from college (subs?)</t>
  </si>
  <si>
    <t>y</t>
  </si>
  <si>
    <t>From capital</t>
  </si>
</sst>
</file>

<file path=xl/styles.xml><?xml version="1.0" encoding="utf-8"?>
<styleSheet xmlns="http://schemas.openxmlformats.org/spreadsheetml/2006/main">
  <numFmts count="8">
    <numFmt numFmtId="6" formatCode="&quot;£&quot;#,##0;[Red]\-&quot;£&quot;#,##0"/>
    <numFmt numFmtId="7" formatCode="&quot;£&quot;#,##0.00;\-&quot;£&quot;#,##0.00"/>
    <numFmt numFmtId="8" formatCode="&quot;£&quot;#,##0.00;[Red]\-&quot;£&quot;#,##0.00"/>
    <numFmt numFmtId="44" formatCode="_-&quot;£&quot;* #,##0.00_-;\-&quot;£&quot;* #,##0.00_-;_-&quot;£&quot;* &quot;-&quot;??_-;_-@_-"/>
    <numFmt numFmtId="164" formatCode="&quot;£&quot;#,##0.00"/>
    <numFmt numFmtId="165" formatCode="#,##0.00_);[Red]\(#,##0.00\);\-_)"/>
    <numFmt numFmtId="166" formatCode="0.0"/>
    <numFmt numFmtId="167" formatCode="&quot;£&quot;#,##0"/>
  </numFmts>
  <fonts count="37">
    <font>
      <sz val="10"/>
      <name val="Arial"/>
    </font>
    <font>
      <sz val="10"/>
      <name val="Arial"/>
      <family val="2"/>
    </font>
    <font>
      <sz val="8"/>
      <name val="Arial"/>
      <family val="2"/>
    </font>
    <font>
      <sz val="10"/>
      <color indexed="8"/>
      <name val="Arial"/>
      <family val="2"/>
    </font>
    <font>
      <u/>
      <sz val="10"/>
      <color indexed="12"/>
      <name val="Arial"/>
      <family val="2"/>
    </font>
    <font>
      <b/>
      <sz val="10"/>
      <name val="Arial"/>
      <family val="2"/>
    </font>
    <font>
      <sz val="10"/>
      <name val="Arial"/>
      <family val="2"/>
    </font>
    <font>
      <sz val="9"/>
      <color indexed="8"/>
      <name val="Arial"/>
      <family val="2"/>
    </font>
    <font>
      <b/>
      <sz val="9"/>
      <color indexed="8"/>
      <name val="Arial"/>
      <family val="2"/>
    </font>
    <font>
      <b/>
      <sz val="10"/>
      <color indexed="8"/>
      <name val="Arial"/>
      <family val="2"/>
    </font>
    <font>
      <sz val="10"/>
      <color indexed="8"/>
      <name val="Arial"/>
      <family val="2"/>
    </font>
    <font>
      <sz val="8"/>
      <name val="Arial"/>
      <family val="2"/>
    </font>
    <font>
      <sz val="8"/>
      <color indexed="12"/>
      <name val="Arial"/>
      <family val="2"/>
    </font>
    <font>
      <sz val="8"/>
      <color indexed="10"/>
      <name val="Arial"/>
      <family val="2"/>
    </font>
    <font>
      <sz val="8"/>
      <color indexed="57"/>
      <name val="Arial"/>
      <family val="2"/>
    </font>
    <font>
      <b/>
      <sz val="8"/>
      <name val="Arial"/>
      <family val="2"/>
    </font>
    <font>
      <b/>
      <sz val="8"/>
      <color indexed="12"/>
      <name val="Arial"/>
      <family val="2"/>
    </font>
    <font>
      <b/>
      <sz val="16"/>
      <name val="Arial"/>
      <family val="2"/>
    </font>
    <font>
      <sz val="8.3000000000000007"/>
      <color indexed="63"/>
      <name val="Monaco"/>
      <family val="3"/>
    </font>
    <font>
      <sz val="10"/>
      <color indexed="63"/>
      <name val="Arial"/>
      <family val="2"/>
    </font>
    <font>
      <b/>
      <sz val="12"/>
      <color indexed="9"/>
      <name val="Verdana"/>
      <family val="2"/>
    </font>
    <font>
      <sz val="12"/>
      <color indexed="9"/>
      <name val="Verdana"/>
      <family val="2"/>
    </font>
    <font>
      <sz val="12"/>
      <name val="Verdana"/>
      <family val="2"/>
    </font>
    <font>
      <b/>
      <sz val="12"/>
      <name val="Verdana"/>
      <family val="2"/>
    </font>
    <font>
      <b/>
      <sz val="10"/>
      <name val="Verdana"/>
      <family val="2"/>
    </font>
    <font>
      <vertAlign val="superscript"/>
      <sz val="12"/>
      <color indexed="9"/>
      <name val="Verdana"/>
      <family val="2"/>
    </font>
    <font>
      <sz val="10"/>
      <name val="Verdana"/>
      <family val="2"/>
    </font>
    <font>
      <b/>
      <sz val="10"/>
      <name val="Verdana"/>
      <family val="2"/>
    </font>
    <font>
      <sz val="10"/>
      <name val="Verdana"/>
      <family val="2"/>
    </font>
    <font>
      <sz val="10"/>
      <color indexed="10"/>
      <name val="Verdana"/>
      <family val="2"/>
    </font>
    <font>
      <sz val="10"/>
      <color indexed="8"/>
      <name val="Verdana"/>
      <family val="2"/>
    </font>
    <font>
      <b/>
      <sz val="10"/>
      <color indexed="10"/>
      <name val="Verdana"/>
      <family val="2"/>
    </font>
    <font>
      <sz val="10"/>
      <color indexed="8"/>
      <name val="Verdana"/>
      <family val="2"/>
    </font>
    <font>
      <b/>
      <sz val="10"/>
      <color indexed="8"/>
      <name val="Verdana"/>
      <family val="2"/>
    </font>
    <font>
      <b/>
      <sz val="10"/>
      <color indexed="10"/>
      <name val="Verdana"/>
      <family val="2"/>
    </font>
    <font>
      <sz val="10"/>
      <color indexed="10"/>
      <name val="Verdana"/>
      <family val="2"/>
    </font>
    <font>
      <b/>
      <sz val="10"/>
      <color indexed="8"/>
      <name val="Verdana"/>
      <family val="2"/>
    </font>
  </fonts>
  <fills count="13">
    <fill>
      <patternFill patternType="none"/>
    </fill>
    <fill>
      <patternFill patternType="gray125"/>
    </fill>
    <fill>
      <patternFill patternType="solid">
        <fgColor indexed="27"/>
        <bgColor indexed="64"/>
      </patternFill>
    </fill>
    <fill>
      <patternFill patternType="solid">
        <fgColor indexed="13"/>
        <bgColor indexed="64"/>
      </patternFill>
    </fill>
    <fill>
      <patternFill patternType="solid">
        <fgColor indexed="53"/>
        <bgColor indexed="64"/>
      </patternFill>
    </fill>
    <fill>
      <patternFill patternType="solid">
        <fgColor indexed="42"/>
        <bgColor indexed="64"/>
      </patternFill>
    </fill>
    <fill>
      <patternFill patternType="solid">
        <fgColor indexed="41"/>
        <bgColor indexed="64"/>
      </patternFill>
    </fill>
    <fill>
      <patternFill patternType="solid">
        <fgColor indexed="43"/>
        <bgColor indexed="64"/>
      </patternFill>
    </fill>
    <fill>
      <patternFill patternType="solid">
        <fgColor indexed="46"/>
        <bgColor indexed="64"/>
      </patternFill>
    </fill>
    <fill>
      <patternFill patternType="solid">
        <fgColor indexed="40"/>
        <bgColor indexed="64"/>
      </patternFill>
    </fill>
    <fill>
      <patternFill patternType="solid">
        <fgColor indexed="26"/>
        <bgColor indexed="64"/>
      </patternFill>
    </fill>
    <fill>
      <patternFill patternType="solid">
        <fgColor indexed="12"/>
        <bgColor indexed="64"/>
      </patternFill>
    </fill>
    <fill>
      <patternFill patternType="solid">
        <fgColor indexed="9"/>
        <bgColor indexed="64"/>
      </patternFill>
    </fill>
  </fills>
  <borders count="52">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ck">
        <color indexed="62"/>
      </right>
      <top style="thick">
        <color indexed="62"/>
      </top>
      <bottom/>
      <diagonal/>
    </border>
    <border>
      <left/>
      <right style="thick">
        <color indexed="62"/>
      </right>
      <top/>
      <bottom/>
      <diagonal/>
    </border>
    <border>
      <left/>
      <right style="thick">
        <color indexed="62"/>
      </right>
      <top/>
      <bottom style="thick">
        <color indexed="6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ck">
        <color indexed="64"/>
      </left>
      <right style="thick">
        <color indexed="64"/>
      </right>
      <top style="thin">
        <color indexed="64"/>
      </top>
      <bottom/>
      <diagonal/>
    </border>
    <border>
      <left style="thick">
        <color indexed="64"/>
      </left>
      <right style="thick">
        <color indexed="64"/>
      </right>
      <top/>
      <bottom/>
      <diagonal/>
    </border>
    <border>
      <left style="thin">
        <color indexed="64"/>
      </left>
      <right style="thick">
        <color indexed="64"/>
      </right>
      <top/>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diagonal/>
    </border>
    <border>
      <left/>
      <right/>
      <top style="thin">
        <color indexed="64"/>
      </top>
      <bottom/>
      <diagonal/>
    </border>
    <border>
      <left/>
      <right/>
      <top style="double">
        <color indexed="64"/>
      </top>
      <bottom style="thick">
        <color indexed="64"/>
      </bottom>
      <diagonal/>
    </border>
    <border>
      <left/>
      <right/>
      <top style="dashed">
        <color indexed="64"/>
      </top>
      <bottom/>
      <diagonal/>
    </border>
    <border>
      <left/>
      <right/>
      <top style="hair">
        <color indexed="64"/>
      </top>
      <bottom style="dashed">
        <color indexed="64"/>
      </bottom>
      <diagonal/>
    </border>
    <border>
      <left/>
      <right/>
      <top style="hair">
        <color indexed="64"/>
      </top>
      <bottom/>
      <diagonal/>
    </border>
    <border>
      <left/>
      <right/>
      <top style="thick">
        <color indexed="64"/>
      </top>
      <bottom style="thick">
        <color indexed="64"/>
      </bottom>
      <diagonal/>
    </border>
    <border>
      <left style="thin">
        <color indexed="64"/>
      </left>
      <right style="thick">
        <color indexed="64"/>
      </right>
      <top style="thin">
        <color indexed="64"/>
      </top>
      <bottom/>
      <diagonal/>
    </border>
    <border>
      <left/>
      <right/>
      <top style="thick">
        <color indexed="64"/>
      </top>
      <bottom/>
      <diagonal/>
    </border>
    <border>
      <left style="thin">
        <color indexed="8"/>
      </left>
      <right style="thin">
        <color indexed="8"/>
      </right>
      <top/>
      <bottom/>
      <diagonal/>
    </border>
    <border>
      <left style="thick">
        <color indexed="62"/>
      </left>
      <right style="thick">
        <color indexed="62"/>
      </right>
      <top/>
      <bottom style="thick">
        <color indexed="62"/>
      </bottom>
      <diagonal/>
    </border>
    <border>
      <left style="thick">
        <color indexed="62"/>
      </left>
      <right style="thick">
        <color indexed="62"/>
      </right>
      <top style="thick">
        <color indexed="62"/>
      </top>
      <bottom/>
      <diagonal/>
    </border>
    <border>
      <left/>
      <right style="medium">
        <color indexed="62"/>
      </right>
      <top style="medium">
        <color indexed="62"/>
      </top>
      <bottom/>
      <diagonal/>
    </border>
    <border>
      <left/>
      <right style="medium">
        <color indexed="62"/>
      </right>
      <top/>
      <bottom/>
      <diagonal/>
    </border>
    <border>
      <left/>
      <right style="medium">
        <color indexed="62"/>
      </right>
      <top/>
      <bottom style="medium">
        <color indexed="62"/>
      </bottom>
      <diagonal/>
    </border>
    <border>
      <left style="medium">
        <color indexed="62"/>
      </left>
      <right style="medium">
        <color indexed="62"/>
      </right>
      <top/>
      <bottom style="medium">
        <color indexed="62"/>
      </bottom>
      <diagonal/>
    </border>
    <border>
      <left/>
      <right/>
      <top style="medium">
        <color indexed="62"/>
      </top>
      <bottom/>
      <diagonal/>
    </border>
    <border>
      <left style="thin">
        <color indexed="8"/>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1" fillId="0" borderId="0"/>
  </cellStyleXfs>
  <cellXfs count="360">
    <xf numFmtId="0" fontId="0" fillId="0" borderId="0" xfId="0"/>
    <xf numFmtId="14" fontId="0" fillId="0" borderId="0" xfId="0" applyNumberFormat="1"/>
    <xf numFmtId="20" fontId="0" fillId="0" borderId="0" xfId="0" applyNumberFormat="1"/>
    <xf numFmtId="2" fontId="0" fillId="0" borderId="0" xfId="0" applyNumberFormat="1"/>
    <xf numFmtId="0" fontId="0" fillId="0" borderId="1" xfId="0" applyBorder="1"/>
    <xf numFmtId="0" fontId="0" fillId="0" borderId="2" xfId="0" applyBorder="1"/>
    <xf numFmtId="0" fontId="0" fillId="0" borderId="3" xfId="0" applyBorder="1"/>
    <xf numFmtId="0" fontId="0" fillId="0" borderId="0" xfId="0" applyBorder="1"/>
    <xf numFmtId="0" fontId="0" fillId="0" borderId="4" xfId="0" applyBorder="1" applyAlignment="1">
      <alignment horizontal="right"/>
    </xf>
    <xf numFmtId="14" fontId="0" fillId="0" borderId="5" xfId="0" applyNumberFormat="1" applyBorder="1"/>
    <xf numFmtId="14" fontId="0" fillId="0" borderId="4" xfId="0" applyNumberFormat="1" applyBorder="1"/>
    <xf numFmtId="7" fontId="0" fillId="0" borderId="6" xfId="0" applyNumberFormat="1" applyBorder="1"/>
    <xf numFmtId="7" fontId="0" fillId="0" borderId="0" xfId="0" applyNumberFormat="1"/>
    <xf numFmtId="7" fontId="0" fillId="0" borderId="5" xfId="0" applyNumberFormat="1" applyBorder="1"/>
    <xf numFmtId="0" fontId="3" fillId="0" borderId="0" xfId="0" applyFont="1"/>
    <xf numFmtId="0" fontId="3" fillId="2" borderId="7" xfId="1" applyFont="1" applyFill="1" applyBorder="1" applyAlignment="1" applyProtection="1">
      <alignment horizontal="left" wrapText="1" indent="1"/>
    </xf>
    <xf numFmtId="0" fontId="3" fillId="2" borderId="8" xfId="1" applyFont="1" applyFill="1" applyBorder="1" applyAlignment="1" applyProtection="1">
      <alignment horizontal="left" wrapText="1" indent="1"/>
    </xf>
    <xf numFmtId="0" fontId="3" fillId="2" borderId="9" xfId="1" applyFont="1" applyFill="1" applyBorder="1" applyAlignment="1" applyProtection="1">
      <alignment horizontal="left" wrapText="1" indent="1"/>
    </xf>
    <xf numFmtId="17" fontId="0" fillId="0" borderId="0" xfId="0" applyNumberFormat="1"/>
    <xf numFmtId="0" fontId="0" fillId="0" borderId="0" xfId="0" applyFill="1"/>
    <xf numFmtId="44" fontId="0" fillId="0" borderId="0" xfId="0" applyNumberFormat="1"/>
    <xf numFmtId="44" fontId="0" fillId="0" borderId="0" xfId="0" applyNumberFormat="1" applyFill="1"/>
    <xf numFmtId="164" fontId="0" fillId="0" borderId="0" xfId="0" applyNumberFormat="1"/>
    <xf numFmtId="44" fontId="0" fillId="0" borderId="0" xfId="0" applyNumberFormat="1" applyBorder="1"/>
    <xf numFmtId="0" fontId="0" fillId="0" borderId="4" xfId="0" applyBorder="1"/>
    <xf numFmtId="0" fontId="0" fillId="0" borderId="10" xfId="0" applyBorder="1"/>
    <xf numFmtId="0" fontId="0" fillId="0" borderId="11" xfId="0" applyBorder="1"/>
    <xf numFmtId="17" fontId="0" fillId="0" borderId="12" xfId="0" applyNumberFormat="1" applyBorder="1"/>
    <xf numFmtId="0" fontId="0" fillId="0" borderId="13" xfId="0" applyBorder="1"/>
    <xf numFmtId="44" fontId="0" fillId="0" borderId="4" xfId="0" applyNumberFormat="1" applyBorder="1"/>
    <xf numFmtId="44" fontId="0" fillId="0" borderId="14" xfId="0" applyNumberFormat="1" applyBorder="1"/>
    <xf numFmtId="44" fontId="0" fillId="0" borderId="13" xfId="0" applyNumberFormat="1" applyBorder="1"/>
    <xf numFmtId="0" fontId="5" fillId="0" borderId="0" xfId="0" applyFont="1"/>
    <xf numFmtId="20" fontId="0" fillId="0" borderId="0" xfId="0" applyNumberFormat="1" applyFill="1" applyBorder="1"/>
    <xf numFmtId="8" fontId="0" fillId="0" borderId="0" xfId="0" applyNumberFormat="1"/>
    <xf numFmtId="49" fontId="0" fillId="0" borderId="11" xfId="0" applyNumberFormat="1" applyBorder="1" applyAlignment="1"/>
    <xf numFmtId="0" fontId="0" fillId="0" borderId="14" xfId="0" applyBorder="1"/>
    <xf numFmtId="0" fontId="0" fillId="0" borderId="15" xfId="0" applyBorder="1"/>
    <xf numFmtId="0" fontId="0" fillId="0" borderId="16" xfId="0" applyBorder="1"/>
    <xf numFmtId="164" fontId="0" fillId="0" borderId="13" xfId="0" applyNumberFormat="1" applyBorder="1"/>
    <xf numFmtId="14" fontId="0" fillId="0" borderId="13" xfId="0" applyNumberFormat="1" applyBorder="1"/>
    <xf numFmtId="0" fontId="0" fillId="0" borderId="17" xfId="0" applyBorder="1"/>
    <xf numFmtId="0" fontId="0" fillId="0" borderId="12" xfId="0" applyBorder="1"/>
    <xf numFmtId="14" fontId="0" fillId="0" borderId="18" xfId="0" applyNumberFormat="1" applyBorder="1"/>
    <xf numFmtId="0" fontId="0" fillId="0" borderId="6" xfId="0" applyBorder="1"/>
    <xf numFmtId="0" fontId="0" fillId="0" borderId="19" xfId="0" applyBorder="1"/>
    <xf numFmtId="14" fontId="0" fillId="0" borderId="20" xfId="0" applyNumberFormat="1" applyBorder="1"/>
    <xf numFmtId="14" fontId="0" fillId="0" borderId="21" xfId="0" applyNumberFormat="1" applyBorder="1"/>
    <xf numFmtId="0" fontId="0" fillId="0" borderId="22" xfId="0" applyBorder="1"/>
    <xf numFmtId="0" fontId="0" fillId="0" borderId="23" xfId="0" applyBorder="1"/>
    <xf numFmtId="0" fontId="0" fillId="3" borderId="0" xfId="0" applyFill="1"/>
    <xf numFmtId="6" fontId="0" fillId="0" borderId="0" xfId="0" applyNumberFormat="1"/>
    <xf numFmtId="0" fontId="0" fillId="0" borderId="24" xfId="0" applyBorder="1"/>
    <xf numFmtId="0" fontId="0" fillId="0" borderId="25" xfId="0" applyBorder="1"/>
    <xf numFmtId="0" fontId="0" fillId="0" borderId="26" xfId="0" applyBorder="1"/>
    <xf numFmtId="0" fontId="0" fillId="0" borderId="0" xfId="0" applyFill="1" applyBorder="1"/>
    <xf numFmtId="0" fontId="6" fillId="0" borderId="0" xfId="0" applyFont="1"/>
    <xf numFmtId="165" fontId="0" fillId="0" borderId="0" xfId="0" applyNumberFormat="1"/>
    <xf numFmtId="0" fontId="0" fillId="4" borderId="11" xfId="0" applyFill="1" applyBorder="1"/>
    <xf numFmtId="0" fontId="0" fillId="5" borderId="11" xfId="0" applyFill="1" applyBorder="1"/>
    <xf numFmtId="0" fontId="0" fillId="6" borderId="11" xfId="0" applyFill="1" applyBorder="1"/>
    <xf numFmtId="165" fontId="0" fillId="7" borderId="11" xfId="0" applyNumberFormat="1" applyFill="1" applyBorder="1" applyAlignment="1">
      <alignment horizontal="center" vertical="center"/>
    </xf>
    <xf numFmtId="165" fontId="1" fillId="7" borderId="11" xfId="1" applyNumberFormat="1" applyFont="1" applyFill="1" applyBorder="1" applyAlignment="1" applyProtection="1">
      <alignment horizontal="center" vertical="center"/>
    </xf>
    <xf numFmtId="165" fontId="6" fillId="7" borderId="11" xfId="1" applyNumberFormat="1" applyFont="1" applyFill="1" applyBorder="1" applyAlignment="1" applyProtection="1">
      <alignment horizontal="center" vertical="center"/>
    </xf>
    <xf numFmtId="165" fontId="6" fillId="4" borderId="11" xfId="1" applyNumberFormat="1" applyFont="1" applyFill="1" applyBorder="1" applyAlignment="1" applyProtection="1">
      <alignment horizontal="center" vertical="center"/>
    </xf>
    <xf numFmtId="165" fontId="6" fillId="8" borderId="11" xfId="1" applyNumberFormat="1" applyFont="1" applyFill="1" applyBorder="1" applyAlignment="1" applyProtection="1">
      <alignment horizontal="center" vertical="center"/>
    </xf>
    <xf numFmtId="165" fontId="6" fillId="0" borderId="13" xfId="1" applyNumberFormat="1" applyFont="1" applyFill="1" applyBorder="1" applyAlignment="1" applyProtection="1">
      <alignment horizontal="center" vertical="center"/>
    </xf>
    <xf numFmtId="0" fontId="0" fillId="4" borderId="13" xfId="0" applyFill="1" applyBorder="1"/>
    <xf numFmtId="0" fontId="0" fillId="5" borderId="13" xfId="0" applyFill="1" applyBorder="1"/>
    <xf numFmtId="165" fontId="0" fillId="6" borderId="13" xfId="0" applyNumberFormat="1" applyFill="1" applyBorder="1"/>
    <xf numFmtId="165" fontId="0" fillId="7" borderId="13" xfId="0" applyNumberFormat="1" applyFill="1" applyBorder="1"/>
    <xf numFmtId="165" fontId="0" fillId="0" borderId="13" xfId="0" applyNumberFormat="1" applyBorder="1"/>
    <xf numFmtId="0" fontId="0" fillId="8" borderId="13" xfId="0" applyFill="1" applyBorder="1"/>
    <xf numFmtId="0" fontId="0" fillId="6" borderId="13" xfId="0" applyFill="1" applyBorder="1"/>
    <xf numFmtId="0" fontId="0" fillId="7" borderId="13" xfId="0" applyFill="1" applyBorder="1"/>
    <xf numFmtId="0" fontId="0" fillId="4" borderId="1" xfId="0" applyFill="1" applyBorder="1"/>
    <xf numFmtId="0" fontId="0" fillId="5" borderId="1" xfId="0" applyFill="1" applyBorder="1"/>
    <xf numFmtId="0" fontId="0" fillId="7" borderId="1" xfId="0" applyFill="1" applyBorder="1"/>
    <xf numFmtId="0" fontId="0" fillId="8" borderId="1" xfId="0" applyFill="1" applyBorder="1"/>
    <xf numFmtId="165" fontId="0" fillId="0" borderId="27" xfId="0" applyNumberFormat="1" applyBorder="1"/>
    <xf numFmtId="0" fontId="0" fillId="4" borderId="14" xfId="0" applyFill="1" applyBorder="1"/>
    <xf numFmtId="0" fontId="0" fillId="4" borderId="28" xfId="0" applyFill="1" applyBorder="1"/>
    <xf numFmtId="0" fontId="0" fillId="4" borderId="17" xfId="0" applyFill="1" applyBorder="1"/>
    <xf numFmtId="0" fontId="0" fillId="5" borderId="20" xfId="0" applyFill="1" applyBorder="1"/>
    <xf numFmtId="0" fontId="0" fillId="5" borderId="14" xfId="0" applyFill="1" applyBorder="1"/>
    <xf numFmtId="0" fontId="0" fillId="6" borderId="14" xfId="0" applyFill="1" applyBorder="1"/>
    <xf numFmtId="0" fontId="0" fillId="8" borderId="14" xfId="0" applyFill="1" applyBorder="1"/>
    <xf numFmtId="0" fontId="0" fillId="5" borderId="21" xfId="0" applyFill="1" applyBorder="1"/>
    <xf numFmtId="0" fontId="0" fillId="0" borderId="29" xfId="0" applyBorder="1"/>
    <xf numFmtId="14" fontId="0" fillId="0" borderId="10" xfId="0" applyNumberFormat="1" applyBorder="1"/>
    <xf numFmtId="2" fontId="0" fillId="0" borderId="22" xfId="0" applyNumberFormat="1" applyBorder="1"/>
    <xf numFmtId="2" fontId="0" fillId="0" borderId="23" xfId="0" applyNumberFormat="1" applyBorder="1"/>
    <xf numFmtId="14" fontId="0" fillId="5" borderId="13" xfId="0" applyNumberFormat="1" applyFill="1" applyBorder="1"/>
    <xf numFmtId="166" fontId="0" fillId="0" borderId="0" xfId="0" applyNumberFormat="1"/>
    <xf numFmtId="1" fontId="0" fillId="0" borderId="0" xfId="0" applyNumberFormat="1"/>
    <xf numFmtId="0" fontId="5" fillId="9" borderId="11" xfId="0" applyFont="1" applyFill="1" applyBorder="1"/>
    <xf numFmtId="0" fontId="0" fillId="9" borderId="13" xfId="0" applyFill="1" applyBorder="1"/>
    <xf numFmtId="0" fontId="5" fillId="5" borderId="11" xfId="0" applyFont="1" applyFill="1" applyBorder="1"/>
    <xf numFmtId="0" fontId="5" fillId="10" borderId="11" xfId="0" applyFont="1" applyFill="1" applyBorder="1"/>
    <xf numFmtId="0" fontId="0" fillId="10" borderId="13" xfId="0" applyFill="1" applyBorder="1"/>
    <xf numFmtId="14" fontId="0" fillId="10" borderId="13" xfId="0" applyNumberFormat="1" applyFill="1" applyBorder="1"/>
    <xf numFmtId="14" fontId="0" fillId="5" borderId="14" xfId="0" applyNumberFormat="1" applyFill="1" applyBorder="1"/>
    <xf numFmtId="0" fontId="3" fillId="5" borderId="13" xfId="0" applyFont="1" applyFill="1" applyBorder="1"/>
    <xf numFmtId="7" fontId="0" fillId="0" borderId="0" xfId="0" applyNumberFormat="1" applyBorder="1"/>
    <xf numFmtId="0" fontId="4" fillId="0" borderId="0" xfId="1" applyAlignment="1" applyProtection="1"/>
    <xf numFmtId="49" fontId="0" fillId="0" borderId="0" xfId="0" applyNumberFormat="1"/>
    <xf numFmtId="14" fontId="0" fillId="0" borderId="1" xfId="0" applyNumberFormat="1" applyBorder="1"/>
    <xf numFmtId="0" fontId="7" fillId="0" borderId="8" xfId="0" applyFont="1" applyFill="1" applyBorder="1" applyAlignment="1">
      <alignment wrapText="1"/>
    </xf>
    <xf numFmtId="0" fontId="0" fillId="9" borderId="5" xfId="0" applyFill="1" applyBorder="1"/>
    <xf numFmtId="49" fontId="0" fillId="5" borderId="30" xfId="1" applyNumberFormat="1" applyFont="1" applyFill="1" applyBorder="1" applyAlignment="1" applyProtection="1">
      <alignment horizontal="left" indent="1"/>
    </xf>
    <xf numFmtId="49" fontId="0" fillId="5" borderId="30" xfId="1" applyNumberFormat="1" applyFont="1" applyFill="1" applyBorder="1" applyAlignment="1" applyProtection="1">
      <alignment horizontal="left"/>
    </xf>
    <xf numFmtId="49" fontId="0" fillId="5" borderId="30" xfId="0" applyNumberFormat="1" applyFont="1" applyFill="1" applyBorder="1" applyAlignment="1">
      <alignment horizontal="left"/>
    </xf>
    <xf numFmtId="0" fontId="9" fillId="0" borderId="0" xfId="0" applyFont="1"/>
    <xf numFmtId="0" fontId="10" fillId="0" borderId="14" xfId="0" applyFont="1" applyFill="1" applyBorder="1"/>
    <xf numFmtId="0" fontId="10" fillId="0" borderId="13" xfId="0" applyFont="1" applyBorder="1"/>
    <xf numFmtId="0" fontId="10" fillId="0" borderId="1" xfId="0" applyFont="1" applyBorder="1"/>
    <xf numFmtId="0" fontId="10" fillId="0" borderId="0" xfId="0" applyFont="1"/>
    <xf numFmtId="0" fontId="10" fillId="2" borderId="7" xfId="1" applyFont="1" applyFill="1" applyBorder="1" applyAlignment="1" applyProtection="1">
      <alignment horizontal="left" wrapText="1" indent="1"/>
    </xf>
    <xf numFmtId="0" fontId="10" fillId="2" borderId="8" xfId="1" applyFont="1" applyFill="1" applyBorder="1" applyAlignment="1" applyProtection="1">
      <alignment horizontal="left" wrapText="1" indent="1"/>
    </xf>
    <xf numFmtId="44" fontId="10" fillId="6" borderId="31" xfId="0" applyNumberFormat="1" applyFont="1" applyFill="1" applyBorder="1"/>
    <xf numFmtId="0" fontId="10" fillId="2" borderId="9" xfId="1" applyFont="1" applyFill="1" applyBorder="1" applyAlignment="1" applyProtection="1">
      <alignment horizontal="left" wrapText="1" indent="1"/>
    </xf>
    <xf numFmtId="0" fontId="10" fillId="6" borderId="32" xfId="1" applyFont="1" applyFill="1" applyBorder="1" applyAlignment="1" applyProtection="1"/>
    <xf numFmtId="14" fontId="0" fillId="4" borderId="14" xfId="0" applyNumberFormat="1" applyFill="1" applyBorder="1"/>
    <xf numFmtId="14" fontId="0" fillId="4" borderId="13" xfId="0" applyNumberFormat="1" applyFill="1" applyBorder="1"/>
    <xf numFmtId="0" fontId="11" fillId="0" borderId="0" xfId="0" applyFont="1" applyBorder="1"/>
    <xf numFmtId="0" fontId="11" fillId="0" borderId="0" xfId="0" applyFont="1" applyBorder="1" applyAlignment="1">
      <alignment horizontal="center"/>
    </xf>
    <xf numFmtId="0" fontId="11" fillId="0" borderId="0" xfId="0" applyFont="1" applyAlignment="1">
      <alignment horizontal="center"/>
    </xf>
    <xf numFmtId="167" fontId="12" fillId="0" borderId="0" xfId="0" applyNumberFormat="1" applyFont="1" applyBorder="1" applyAlignment="1">
      <alignment horizontal="center"/>
    </xf>
    <xf numFmtId="0" fontId="13" fillId="0" borderId="0" xfId="0" applyFont="1" applyAlignment="1">
      <alignment horizontal="center"/>
    </xf>
    <xf numFmtId="0" fontId="14" fillId="0" borderId="0" xfId="0" applyFont="1" applyAlignment="1">
      <alignment horizontal="center"/>
    </xf>
    <xf numFmtId="0" fontId="11" fillId="0" borderId="0" xfId="0" applyFont="1"/>
    <xf numFmtId="6" fontId="12" fillId="0" borderId="0" xfId="0" applyNumberFormat="1" applyFont="1" applyBorder="1" applyAlignment="1">
      <alignment horizontal="center"/>
    </xf>
    <xf numFmtId="167" fontId="12" fillId="0" borderId="0" xfId="0" applyNumberFormat="1" applyFont="1" applyBorder="1" applyAlignment="1">
      <alignment horizontal="center" wrapText="1"/>
    </xf>
    <xf numFmtId="0" fontId="12" fillId="0" borderId="0" xfId="0" applyFont="1"/>
    <xf numFmtId="0" fontId="15" fillId="0" borderId="0" xfId="0" applyFont="1" applyBorder="1"/>
    <xf numFmtId="0" fontId="15" fillId="0" borderId="0" xfId="0" applyFont="1" applyBorder="1" applyAlignment="1">
      <alignment horizontal="center"/>
    </xf>
    <xf numFmtId="0" fontId="15" fillId="0" borderId="0" xfId="0" applyFont="1" applyAlignment="1">
      <alignment horizontal="center"/>
    </xf>
    <xf numFmtId="167" fontId="16" fillId="0" borderId="0" xfId="0" applyNumberFormat="1" applyFont="1" applyBorder="1" applyAlignment="1">
      <alignment horizontal="center"/>
    </xf>
    <xf numFmtId="0" fontId="18" fillId="0" borderId="0" xfId="0" applyFont="1"/>
    <xf numFmtId="0" fontId="0" fillId="0" borderId="13" xfId="0" applyFill="1" applyBorder="1"/>
    <xf numFmtId="164" fontId="0" fillId="0" borderId="13" xfId="0" applyNumberFormat="1" applyFill="1" applyBorder="1"/>
    <xf numFmtId="0" fontId="6" fillId="0" borderId="13" xfId="0" applyFont="1" applyBorder="1"/>
    <xf numFmtId="0" fontId="19" fillId="0" borderId="0" xfId="0" applyFont="1"/>
    <xf numFmtId="0" fontId="4" fillId="0" borderId="0" xfId="1" applyFont="1" applyAlignment="1" applyProtection="1"/>
    <xf numFmtId="3" fontId="20" fillId="11" borderId="0" xfId="0" applyNumberFormat="1" applyFont="1" applyFill="1"/>
    <xf numFmtId="0" fontId="0" fillId="12" borderId="0" xfId="0" applyFill="1"/>
    <xf numFmtId="49" fontId="20" fillId="11" borderId="0" xfId="0" applyNumberFormat="1" applyFont="1" applyFill="1" applyAlignment="1">
      <alignment horizontal="center"/>
    </xf>
    <xf numFmtId="0" fontId="10" fillId="0" borderId="0" xfId="0" applyFont="1" applyBorder="1"/>
    <xf numFmtId="14" fontId="0" fillId="0" borderId="0" xfId="0" applyNumberFormat="1" applyBorder="1"/>
    <xf numFmtId="6" fontId="0" fillId="0" borderId="0" xfId="0" applyNumberFormat="1" applyBorder="1"/>
    <xf numFmtId="6" fontId="0" fillId="0" borderId="4" xfId="0" applyNumberFormat="1" applyBorder="1"/>
    <xf numFmtId="49" fontId="0" fillId="0" borderId="0" xfId="1" applyNumberFormat="1" applyFont="1" applyFill="1" applyBorder="1" applyAlignment="1" applyProtection="1">
      <alignment horizontal="left" indent="1"/>
    </xf>
    <xf numFmtId="49" fontId="0" fillId="0" borderId="0" xfId="1" applyNumberFormat="1" applyFont="1" applyFill="1" applyBorder="1" applyAlignment="1" applyProtection="1">
      <alignment horizontal="left"/>
    </xf>
    <xf numFmtId="49" fontId="0" fillId="0" borderId="0" xfId="0" applyNumberFormat="1" applyFont="1" applyFill="1" applyBorder="1" applyAlignment="1">
      <alignment horizontal="left"/>
    </xf>
    <xf numFmtId="0" fontId="4" fillId="2" borderId="33" xfId="1" applyFill="1" applyBorder="1" applyAlignment="1" applyProtection="1">
      <alignment horizontal="left" wrapText="1" indent="1"/>
    </xf>
    <xf numFmtId="0" fontId="4" fillId="2" borderId="34" xfId="1" applyFill="1" applyBorder="1" applyAlignment="1" applyProtection="1">
      <alignment horizontal="left" wrapText="1" indent="1"/>
    </xf>
    <xf numFmtId="0" fontId="4" fillId="2" borderId="35" xfId="1" applyFill="1" applyBorder="1" applyAlignment="1" applyProtection="1">
      <alignment horizontal="left" wrapText="1" indent="1"/>
    </xf>
    <xf numFmtId="0" fontId="7" fillId="0" borderId="34" xfId="0" applyFont="1" applyFill="1" applyBorder="1" applyAlignment="1">
      <alignment wrapText="1"/>
    </xf>
    <xf numFmtId="0" fontId="8" fillId="0" borderId="34" xfId="0" applyFont="1" applyFill="1" applyBorder="1" applyAlignment="1">
      <alignment wrapText="1"/>
    </xf>
    <xf numFmtId="20" fontId="8" fillId="0" borderId="34" xfId="0" applyNumberFormat="1" applyFont="1" applyFill="1" applyBorder="1" applyAlignment="1">
      <alignment wrapText="1"/>
    </xf>
    <xf numFmtId="0" fontId="0" fillId="0" borderId="34" xfId="0" applyFill="1" applyBorder="1"/>
    <xf numFmtId="0" fontId="4" fillId="2" borderId="36" xfId="1" applyFill="1" applyBorder="1" applyAlignment="1" applyProtection="1">
      <alignment horizontal="left" wrapText="1" indent="1"/>
    </xf>
    <xf numFmtId="20" fontId="8" fillId="0" borderId="0" xfId="0" applyNumberFormat="1" applyFont="1" applyFill="1" applyBorder="1" applyAlignment="1">
      <alignment wrapText="1"/>
    </xf>
    <xf numFmtId="0" fontId="8" fillId="0" borderId="0" xfId="0" applyFont="1" applyFill="1" applyBorder="1" applyAlignment="1">
      <alignment wrapText="1"/>
    </xf>
    <xf numFmtId="0" fontId="0" fillId="0" borderId="37" xfId="0" applyFill="1" applyBorder="1"/>
    <xf numFmtId="0" fontId="4" fillId="0" borderId="0" xfId="1" applyFill="1" applyBorder="1" applyAlignment="1" applyProtection="1">
      <alignment horizontal="left" wrapText="1" indent="1"/>
    </xf>
    <xf numFmtId="49" fontId="0" fillId="5" borderId="38" xfId="0" applyNumberFormat="1" applyFont="1" applyFill="1" applyBorder="1" applyAlignment="1">
      <alignment horizontal="left"/>
    </xf>
    <xf numFmtId="165" fontId="0" fillId="5" borderId="13" xfId="0" applyNumberFormat="1" applyFill="1" applyBorder="1"/>
    <xf numFmtId="0" fontId="0" fillId="0" borderId="1" xfId="0" applyFill="1" applyBorder="1"/>
    <xf numFmtId="7" fontId="0" fillId="0" borderId="22" xfId="0" applyNumberFormat="1" applyBorder="1"/>
    <xf numFmtId="7" fontId="0" fillId="0" borderId="18" xfId="0" applyNumberFormat="1" applyBorder="1"/>
    <xf numFmtId="7" fontId="0" fillId="0" borderId="4" xfId="0" applyNumberFormat="1" applyBorder="1"/>
    <xf numFmtId="0" fontId="1" fillId="12" borderId="0" xfId="2" applyFill="1"/>
    <xf numFmtId="3" fontId="20" fillId="11" borderId="0" xfId="2" applyNumberFormat="1" applyFont="1" applyFill="1"/>
    <xf numFmtId="49" fontId="20" fillId="11" borderId="0" xfId="2" applyNumberFormat="1" applyFont="1" applyFill="1" applyAlignment="1">
      <alignment horizontal="center"/>
    </xf>
    <xf numFmtId="3" fontId="20" fillId="12" borderId="0" xfId="2" applyNumberFormat="1" applyFont="1" applyFill="1"/>
    <xf numFmtId="3" fontId="20" fillId="12" borderId="0" xfId="2" applyNumberFormat="1" applyFont="1" applyFill="1" applyAlignment="1">
      <alignment horizontal="center"/>
    </xf>
    <xf numFmtId="49" fontId="21" fillId="12" borderId="0" xfId="2" applyNumberFormat="1" applyFont="1" applyFill="1" applyAlignment="1">
      <alignment horizontal="center"/>
    </xf>
    <xf numFmtId="49" fontId="21" fillId="12" borderId="0" xfId="2" applyNumberFormat="1" applyFont="1" applyFill="1" applyAlignment="1"/>
    <xf numFmtId="3" fontId="22" fillId="12" borderId="0" xfId="2" applyNumberFormat="1" applyFont="1" applyFill="1"/>
    <xf numFmtId="3" fontId="23" fillId="12" borderId="0" xfId="2" applyNumberFormat="1" applyFont="1" applyFill="1" applyAlignment="1">
      <alignment horizontal="left" wrapText="1"/>
    </xf>
    <xf numFmtId="3" fontId="24" fillId="12" borderId="39" xfId="2" applyNumberFormat="1" applyFont="1" applyFill="1" applyBorder="1" applyAlignment="1">
      <alignment vertical="center"/>
    </xf>
    <xf numFmtId="3" fontId="24" fillId="12" borderId="40" xfId="2" applyNumberFormat="1" applyFont="1" applyFill="1" applyBorder="1" applyAlignment="1">
      <alignment vertical="center"/>
    </xf>
    <xf numFmtId="3" fontId="26" fillId="12" borderId="40" xfId="2" applyNumberFormat="1" applyFont="1" applyFill="1" applyBorder="1" applyAlignment="1">
      <alignment horizontal="center" vertical="center"/>
    </xf>
    <xf numFmtId="3" fontId="24" fillId="12" borderId="41" xfId="2" applyNumberFormat="1" applyFont="1" applyFill="1" applyBorder="1" applyAlignment="1">
      <alignment horizontal="center" vertical="center"/>
    </xf>
    <xf numFmtId="3" fontId="26" fillId="12" borderId="0" xfId="2" applyNumberFormat="1" applyFont="1" applyFill="1" applyAlignment="1">
      <alignment vertical="center"/>
    </xf>
    <xf numFmtId="165" fontId="26" fillId="12" borderId="0" xfId="2" applyNumberFormat="1" applyFont="1" applyFill="1" applyBorder="1" applyAlignment="1">
      <alignment horizontal="center" vertical="center"/>
    </xf>
    <xf numFmtId="3" fontId="26" fillId="12" borderId="0" xfId="2" applyNumberFormat="1" applyFont="1" applyFill="1" applyAlignment="1">
      <alignment horizontal="left" vertical="center" wrapText="1"/>
    </xf>
    <xf numFmtId="3" fontId="26" fillId="12" borderId="42" xfId="2" applyNumberFormat="1" applyFont="1" applyFill="1" applyBorder="1" applyAlignment="1">
      <alignment horizontal="center" vertical="center"/>
    </xf>
    <xf numFmtId="3" fontId="24" fillId="12" borderId="43" xfId="2" applyNumberFormat="1" applyFont="1" applyFill="1" applyBorder="1" applyAlignment="1">
      <alignment horizontal="center" vertical="center"/>
    </xf>
    <xf numFmtId="3" fontId="24" fillId="12" borderId="43" xfId="2" applyNumberFormat="1" applyFont="1" applyFill="1" applyBorder="1" applyAlignment="1">
      <alignment horizontal="center"/>
    </xf>
    <xf numFmtId="3" fontId="24" fillId="12" borderId="43" xfId="2" applyNumberFormat="1" applyFont="1" applyFill="1" applyBorder="1"/>
    <xf numFmtId="3" fontId="24" fillId="12" borderId="44" xfId="2" applyNumberFormat="1" applyFont="1" applyFill="1" applyBorder="1" applyAlignment="1">
      <alignment horizontal="left" wrapText="1"/>
    </xf>
    <xf numFmtId="3" fontId="24" fillId="12" borderId="45" xfId="2" applyNumberFormat="1" applyFont="1" applyFill="1" applyBorder="1" applyAlignment="1">
      <alignment horizontal="center" vertical="center"/>
    </xf>
    <xf numFmtId="3" fontId="24" fillId="12" borderId="0" xfId="2" applyNumberFormat="1" applyFont="1" applyFill="1" applyBorder="1" applyAlignment="1">
      <alignment horizontal="center" vertical="center"/>
    </xf>
    <xf numFmtId="3" fontId="24" fillId="12" borderId="0" xfId="2" applyNumberFormat="1" applyFont="1" applyFill="1" applyBorder="1"/>
    <xf numFmtId="3" fontId="24" fillId="12" borderId="46" xfId="2" applyNumberFormat="1" applyFont="1" applyFill="1" applyBorder="1" applyAlignment="1">
      <alignment wrapText="1"/>
    </xf>
    <xf numFmtId="3" fontId="26" fillId="12" borderId="45" xfId="2" applyNumberFormat="1" applyFont="1" applyFill="1" applyBorder="1" applyAlignment="1">
      <alignment horizontal="center" vertical="center"/>
    </xf>
    <xf numFmtId="3" fontId="26" fillId="12" borderId="0" xfId="2" applyNumberFormat="1" applyFont="1" applyFill="1" applyBorder="1" applyAlignment="1">
      <alignment horizontal="center" vertical="center"/>
    </xf>
    <xf numFmtId="3" fontId="26" fillId="12" borderId="0" xfId="2" applyNumberFormat="1" applyFont="1" applyFill="1" applyBorder="1" applyAlignment="1">
      <alignment vertical="center"/>
    </xf>
    <xf numFmtId="3" fontId="26" fillId="12" borderId="46" xfId="2" applyNumberFormat="1" applyFont="1" applyFill="1" applyBorder="1" applyAlignment="1">
      <alignment horizontal="left" vertical="center" wrapText="1"/>
    </xf>
    <xf numFmtId="3" fontId="26" fillId="12" borderId="0" xfId="2" applyNumberFormat="1" applyFont="1" applyFill="1" applyBorder="1" applyAlignment="1">
      <alignment horizontal="center"/>
    </xf>
    <xf numFmtId="3" fontId="26" fillId="12" borderId="0" xfId="2" applyNumberFormat="1" applyFont="1" applyFill="1" applyBorder="1"/>
    <xf numFmtId="3" fontId="26" fillId="12" borderId="46" xfId="2" applyNumberFormat="1" applyFont="1" applyFill="1" applyBorder="1" applyAlignment="1">
      <alignment horizontal="left" wrapText="1"/>
    </xf>
    <xf numFmtId="3" fontId="26" fillId="12" borderId="0" xfId="2" applyNumberFormat="1" applyFont="1" applyFill="1" applyBorder="1" applyAlignment="1">
      <alignment horizontal="left" wrapText="1"/>
    </xf>
    <xf numFmtId="0" fontId="1" fillId="12" borderId="45" xfId="2" applyFill="1" applyBorder="1" applyAlignment="1">
      <alignment wrapText="1"/>
    </xf>
    <xf numFmtId="0" fontId="1" fillId="12" borderId="0" xfId="2" applyFill="1" applyBorder="1" applyAlignment="1">
      <alignment wrapText="1"/>
    </xf>
    <xf numFmtId="3" fontId="24" fillId="12" borderId="0" xfId="2" applyNumberFormat="1" applyFont="1" applyFill="1" applyBorder="1" applyAlignment="1">
      <alignment horizontal="center"/>
    </xf>
    <xf numFmtId="3" fontId="24" fillId="12" borderId="46" xfId="2" applyNumberFormat="1" applyFont="1" applyFill="1" applyBorder="1" applyAlignment="1">
      <alignment horizontal="left" wrapText="1"/>
    </xf>
    <xf numFmtId="3" fontId="24" fillId="12" borderId="47" xfId="2" applyNumberFormat="1" applyFont="1" applyFill="1" applyBorder="1" applyAlignment="1">
      <alignment horizontal="center" vertical="center"/>
    </xf>
    <xf numFmtId="3" fontId="24" fillId="12" borderId="48" xfId="2" applyNumberFormat="1" applyFont="1" applyFill="1" applyBorder="1" applyAlignment="1">
      <alignment horizontal="center" vertical="center"/>
    </xf>
    <xf numFmtId="3" fontId="26" fillId="12" borderId="48" xfId="2" applyNumberFormat="1" applyFont="1" applyFill="1" applyBorder="1" applyAlignment="1">
      <alignment horizontal="center"/>
    </xf>
    <xf numFmtId="3" fontId="26" fillId="12" borderId="48" xfId="2" applyNumberFormat="1" applyFont="1" applyFill="1" applyBorder="1"/>
    <xf numFmtId="3" fontId="24" fillId="12" borderId="48" xfId="2" applyNumberFormat="1" applyFont="1" applyFill="1" applyBorder="1" applyAlignment="1">
      <alignment horizontal="center"/>
    </xf>
    <xf numFmtId="3" fontId="26" fillId="12" borderId="49" xfId="2" applyNumberFormat="1" applyFont="1" applyFill="1" applyBorder="1" applyAlignment="1">
      <alignment horizontal="left" wrapText="1"/>
    </xf>
    <xf numFmtId="3" fontId="24" fillId="12" borderId="0" xfId="2" applyNumberFormat="1" applyFont="1" applyFill="1" applyAlignment="1">
      <alignment horizontal="center" vertical="center"/>
    </xf>
    <xf numFmtId="3" fontId="24" fillId="12" borderId="0" xfId="2" applyNumberFormat="1" applyFont="1" applyFill="1" applyAlignment="1">
      <alignment horizontal="left" vertical="center" wrapText="1"/>
    </xf>
    <xf numFmtId="3" fontId="26" fillId="12" borderId="0" xfId="2" applyNumberFormat="1" applyFont="1" applyFill="1"/>
    <xf numFmtId="3" fontId="24" fillId="12" borderId="0" xfId="2" applyNumberFormat="1" applyFont="1" applyFill="1" applyAlignment="1">
      <alignment horizontal="center"/>
    </xf>
    <xf numFmtId="3" fontId="24" fillId="12" borderId="0" xfId="2" applyNumberFormat="1" applyFont="1" applyFill="1" applyAlignment="1">
      <alignment horizontal="left" wrapText="1"/>
    </xf>
    <xf numFmtId="3" fontId="24" fillId="12" borderId="42" xfId="2" applyNumberFormat="1" applyFont="1" applyFill="1" applyBorder="1"/>
    <xf numFmtId="3" fontId="26" fillId="12" borderId="43" xfId="2" applyNumberFormat="1" applyFont="1" applyFill="1" applyBorder="1" applyAlignment="1">
      <alignment horizontal="center"/>
    </xf>
    <xf numFmtId="3" fontId="26" fillId="12" borderId="43" xfId="2" applyNumberFormat="1" applyFont="1" applyFill="1" applyBorder="1"/>
    <xf numFmtId="3" fontId="26" fillId="12" borderId="45" xfId="2" applyNumberFormat="1" applyFont="1" applyFill="1" applyBorder="1"/>
    <xf numFmtId="3" fontId="24" fillId="12" borderId="0" xfId="2" applyNumberFormat="1" applyFont="1" applyFill="1" applyBorder="1" applyAlignment="1"/>
    <xf numFmtId="0" fontId="24" fillId="12" borderId="45" xfId="2" applyFont="1" applyFill="1" applyBorder="1"/>
    <xf numFmtId="0" fontId="24" fillId="12" borderId="0" xfId="2" applyFont="1" applyFill="1" applyBorder="1"/>
    <xf numFmtId="0" fontId="26" fillId="12" borderId="45" xfId="2" applyFont="1" applyFill="1" applyBorder="1"/>
    <xf numFmtId="0" fontId="26" fillId="12" borderId="0" xfId="2" applyFont="1" applyFill="1" applyBorder="1"/>
    <xf numFmtId="3" fontId="26" fillId="12" borderId="0" xfId="2" applyNumberFormat="1" applyFont="1" applyFill="1" applyBorder="1" applyAlignment="1">
      <alignment horizontal="left"/>
    </xf>
    <xf numFmtId="3" fontId="24" fillId="12" borderId="47" xfId="2" applyNumberFormat="1" applyFont="1" applyFill="1" applyBorder="1"/>
    <xf numFmtId="3" fontId="24" fillId="12" borderId="48" xfId="2" applyNumberFormat="1" applyFont="1" applyFill="1" applyBorder="1"/>
    <xf numFmtId="3" fontId="26" fillId="12" borderId="0" xfId="2" applyNumberFormat="1" applyFont="1" applyFill="1" applyAlignment="1">
      <alignment horizontal="center"/>
    </xf>
    <xf numFmtId="3" fontId="26" fillId="12" borderId="0" xfId="2" applyNumberFormat="1" applyFont="1" applyFill="1" applyAlignment="1">
      <alignment horizontal="left" wrapText="1"/>
    </xf>
    <xf numFmtId="3" fontId="24" fillId="12" borderId="39" xfId="2" applyNumberFormat="1" applyFont="1" applyFill="1" applyBorder="1"/>
    <xf numFmtId="3" fontId="24" fillId="12" borderId="40" xfId="2" applyNumberFormat="1" applyFont="1" applyFill="1" applyBorder="1"/>
    <xf numFmtId="3" fontId="26" fillId="12" borderId="40" xfId="2" applyNumberFormat="1" applyFont="1" applyFill="1" applyBorder="1" applyAlignment="1">
      <alignment horizontal="center"/>
    </xf>
    <xf numFmtId="3" fontId="24" fillId="12" borderId="41" xfId="2" applyNumberFormat="1" applyFont="1" applyFill="1" applyBorder="1" applyAlignment="1">
      <alignment horizontal="center"/>
    </xf>
    <xf numFmtId="3" fontId="0" fillId="0" borderId="0" xfId="0" applyNumberFormat="1"/>
    <xf numFmtId="3" fontId="0" fillId="0" borderId="0" xfId="0" applyNumberFormat="1" applyAlignment="1">
      <alignment horizontal="center"/>
    </xf>
    <xf numFmtId="3" fontId="0" fillId="0" borderId="0" xfId="0" applyNumberFormat="1" applyAlignment="1">
      <alignment horizontal="left" wrapText="1"/>
    </xf>
    <xf numFmtId="3" fontId="22" fillId="0" borderId="0" xfId="0" applyNumberFormat="1" applyFont="1"/>
    <xf numFmtId="0" fontId="0" fillId="0" borderId="0" xfId="0" applyAlignment="1">
      <alignment horizontal="left" wrapText="1"/>
    </xf>
    <xf numFmtId="3" fontId="0" fillId="0" borderId="0" xfId="0" applyNumberFormat="1" applyAlignment="1">
      <alignment vertical="center"/>
    </xf>
    <xf numFmtId="3" fontId="27" fillId="0" borderId="42" xfId="0" applyNumberFormat="1" applyFont="1" applyBorder="1" applyAlignment="1">
      <alignment vertical="center"/>
    </xf>
    <xf numFmtId="3" fontId="0" fillId="0" borderId="43" xfId="0" applyNumberFormat="1" applyBorder="1" applyAlignment="1">
      <alignment horizontal="center" vertical="center"/>
    </xf>
    <xf numFmtId="3" fontId="27" fillId="0" borderId="44" xfId="0" applyNumberFormat="1" applyFont="1" applyBorder="1" applyAlignment="1">
      <alignment horizontal="center" vertical="center"/>
    </xf>
    <xf numFmtId="1" fontId="0" fillId="0" borderId="0" xfId="0" applyNumberFormat="1" applyAlignment="1">
      <alignment vertical="center"/>
    </xf>
    <xf numFmtId="0" fontId="0" fillId="0" borderId="0" xfId="0" applyAlignment="1">
      <alignment vertical="center"/>
    </xf>
    <xf numFmtId="0" fontId="0" fillId="0" borderId="0" xfId="0" applyAlignment="1">
      <alignment horizontal="left" vertical="center" wrapText="1"/>
    </xf>
    <xf numFmtId="3" fontId="0" fillId="0" borderId="0" xfId="0" applyNumberFormat="1" applyBorder="1" applyAlignment="1">
      <alignment horizontal="center" vertical="center"/>
    </xf>
    <xf numFmtId="3" fontId="0" fillId="0" borderId="0" xfId="0" applyNumberFormat="1" applyBorder="1" applyAlignment="1">
      <alignment vertical="center"/>
    </xf>
    <xf numFmtId="3" fontId="0" fillId="0" borderId="42" xfId="0" applyNumberFormat="1" applyBorder="1"/>
    <xf numFmtId="3" fontId="27" fillId="0" borderId="43" xfId="0" applyNumberFormat="1" applyFont="1" applyBorder="1" applyAlignment="1">
      <alignment horizontal="center"/>
    </xf>
    <xf numFmtId="3" fontId="27" fillId="0" borderId="43" xfId="0" applyNumberFormat="1" applyFont="1" applyBorder="1"/>
    <xf numFmtId="3" fontId="27" fillId="0" borderId="44" xfId="0" applyNumberFormat="1" applyFont="1" applyBorder="1" applyAlignment="1">
      <alignment horizontal="left" wrapText="1"/>
    </xf>
    <xf numFmtId="3" fontId="27" fillId="0" borderId="0" xfId="0" applyNumberFormat="1" applyFont="1" applyBorder="1" applyAlignment="1">
      <alignment horizontal="center"/>
    </xf>
    <xf numFmtId="3" fontId="28" fillId="0" borderId="0" xfId="0" applyNumberFormat="1" applyFont="1" applyBorder="1"/>
    <xf numFmtId="3" fontId="0" fillId="0" borderId="0" xfId="0" applyNumberFormat="1" applyBorder="1"/>
    <xf numFmtId="3" fontId="27" fillId="0" borderId="45" xfId="0" applyNumberFormat="1" applyFont="1" applyBorder="1"/>
    <xf numFmtId="3" fontId="0" fillId="0" borderId="0" xfId="0" applyNumberFormat="1" applyBorder="1" applyAlignment="1">
      <alignment horizontal="center"/>
    </xf>
    <xf numFmtId="3" fontId="0" fillId="0" borderId="46" xfId="0" applyNumberFormat="1" applyBorder="1" applyAlignment="1">
      <alignment horizontal="left" wrapText="1"/>
    </xf>
    <xf numFmtId="3" fontId="27" fillId="0" borderId="0" xfId="0" applyNumberFormat="1" applyFont="1" applyBorder="1"/>
    <xf numFmtId="3" fontId="0" fillId="0" borderId="45" xfId="0" applyNumberFormat="1" applyBorder="1"/>
    <xf numFmtId="3" fontId="29" fillId="0" borderId="0" xfId="0" applyNumberFormat="1" applyFont="1" applyBorder="1" applyAlignment="1">
      <alignment horizontal="center"/>
    </xf>
    <xf numFmtId="3" fontId="29" fillId="0" borderId="0" xfId="0" applyNumberFormat="1" applyFont="1" applyBorder="1"/>
    <xf numFmtId="3" fontId="26" fillId="0" borderId="0" xfId="0" applyNumberFormat="1" applyFont="1" applyBorder="1" applyAlignment="1">
      <alignment horizontal="center"/>
    </xf>
    <xf numFmtId="3" fontId="27" fillId="0" borderId="46" xfId="0" applyNumberFormat="1" applyFont="1" applyBorder="1" applyAlignment="1">
      <alignment horizontal="left" wrapText="1"/>
    </xf>
    <xf numFmtId="3" fontId="30" fillId="0" borderId="0" xfId="0" applyNumberFormat="1" applyFont="1" applyBorder="1" applyAlignment="1">
      <alignment horizontal="center" vertical="center"/>
    </xf>
    <xf numFmtId="3" fontId="0" fillId="0" borderId="46" xfId="0" applyNumberFormat="1" applyBorder="1" applyAlignment="1">
      <alignment horizontal="left" vertical="center" wrapText="1"/>
    </xf>
    <xf numFmtId="3" fontId="26" fillId="0" borderId="45" xfId="0" applyNumberFormat="1" applyFont="1" applyBorder="1"/>
    <xf numFmtId="3" fontId="28" fillId="0" borderId="46" xfId="0" applyNumberFormat="1" applyFont="1" applyBorder="1" applyAlignment="1">
      <alignment horizontal="left" wrapText="1"/>
    </xf>
    <xf numFmtId="3" fontId="27" fillId="0" borderId="0" xfId="0" applyNumberFormat="1" applyFont="1" applyBorder="1" applyAlignment="1">
      <alignment horizontal="center" vertical="center"/>
    </xf>
    <xf numFmtId="3" fontId="27" fillId="0" borderId="48" xfId="0" applyNumberFormat="1" applyFont="1" applyBorder="1" applyAlignment="1">
      <alignment horizontal="center"/>
    </xf>
    <xf numFmtId="3" fontId="0" fillId="0" borderId="48" xfId="0" applyNumberFormat="1" applyBorder="1"/>
    <xf numFmtId="3" fontId="27" fillId="0" borderId="49" xfId="0" applyNumberFormat="1" applyFont="1" applyBorder="1" applyAlignment="1">
      <alignment horizontal="left" wrapText="1"/>
    </xf>
    <xf numFmtId="3" fontId="31" fillId="0" borderId="0" xfId="0" applyNumberFormat="1" applyFont="1" applyBorder="1" applyAlignment="1">
      <alignment horizontal="center"/>
    </xf>
    <xf numFmtId="3" fontId="27" fillId="0" borderId="39" xfId="0" applyNumberFormat="1" applyFont="1" applyBorder="1"/>
    <xf numFmtId="3" fontId="27" fillId="0" borderId="40" xfId="0" applyNumberFormat="1" applyFont="1" applyBorder="1" applyAlignment="1">
      <alignment horizontal="center"/>
    </xf>
    <xf numFmtId="3" fontId="27" fillId="0" borderId="40" xfId="0" applyNumberFormat="1" applyFont="1" applyBorder="1" applyAlignment="1">
      <alignment horizontal="center" vertical="center"/>
    </xf>
    <xf numFmtId="3" fontId="27" fillId="0" borderId="41" xfId="0" applyNumberFormat="1" applyFont="1" applyBorder="1" applyAlignment="1">
      <alignment horizontal="center" vertical="center"/>
    </xf>
    <xf numFmtId="3" fontId="27" fillId="0" borderId="0" xfId="0" applyNumberFormat="1" applyFont="1" applyAlignment="1">
      <alignment horizontal="center" vertical="center"/>
    </xf>
    <xf numFmtId="3" fontId="27" fillId="0" borderId="0" xfId="0" applyNumberFormat="1" applyFont="1" applyAlignment="1">
      <alignment horizontal="left" vertical="center" wrapText="1"/>
    </xf>
    <xf numFmtId="3" fontId="27" fillId="0" borderId="0" xfId="0" applyNumberFormat="1" applyFont="1"/>
    <xf numFmtId="3" fontId="27" fillId="0" borderId="0" xfId="0" applyNumberFormat="1" applyFont="1" applyAlignment="1">
      <alignment horizontal="center"/>
    </xf>
    <xf numFmtId="3" fontId="27" fillId="0" borderId="0" xfId="0" applyNumberFormat="1" applyFont="1" applyAlignment="1">
      <alignment horizontal="left" wrapText="1"/>
    </xf>
    <xf numFmtId="3" fontId="27" fillId="0" borderId="42" xfId="0" applyNumberFormat="1" applyFont="1" applyBorder="1"/>
    <xf numFmtId="3" fontId="0" fillId="0" borderId="43" xfId="0" applyNumberFormat="1" applyBorder="1" applyAlignment="1">
      <alignment horizontal="center"/>
    </xf>
    <xf numFmtId="3" fontId="0" fillId="0" borderId="43" xfId="0" applyNumberFormat="1" applyBorder="1"/>
    <xf numFmtId="3" fontId="27" fillId="0" borderId="43" xfId="0" applyNumberFormat="1" applyFont="1" applyBorder="1" applyAlignment="1"/>
    <xf numFmtId="3" fontId="27" fillId="0" borderId="0" xfId="0" applyNumberFormat="1" applyFont="1" applyBorder="1" applyAlignment="1"/>
    <xf numFmtId="0" fontId="27" fillId="0" borderId="45" xfId="0" applyFont="1" applyBorder="1"/>
    <xf numFmtId="3" fontId="0" fillId="0" borderId="0" xfId="0" applyNumberFormat="1" applyBorder="1" applyAlignment="1"/>
    <xf numFmtId="3" fontId="0" fillId="0" borderId="46" xfId="0" applyNumberFormat="1" applyBorder="1" applyAlignment="1">
      <alignment wrapText="1"/>
    </xf>
    <xf numFmtId="3" fontId="24" fillId="0" borderId="45" xfId="0" applyNumberFormat="1" applyFont="1" applyBorder="1"/>
    <xf numFmtId="3" fontId="24" fillId="0" borderId="0" xfId="0" applyNumberFormat="1" applyFont="1" applyBorder="1" applyAlignment="1">
      <alignment horizontal="center"/>
    </xf>
    <xf numFmtId="3" fontId="27" fillId="0" borderId="47" xfId="0" applyNumberFormat="1" applyFont="1" applyBorder="1"/>
    <xf numFmtId="3" fontId="0" fillId="0" borderId="48" xfId="0" applyNumberFormat="1" applyBorder="1" applyAlignment="1">
      <alignment horizontal="center"/>
    </xf>
    <xf numFmtId="3" fontId="0" fillId="0" borderId="48" xfId="0" applyNumberFormat="1" applyBorder="1" applyAlignment="1"/>
    <xf numFmtId="3" fontId="0" fillId="0" borderId="49" xfId="0" applyNumberFormat="1" applyBorder="1" applyAlignment="1">
      <alignment horizontal="left" wrapText="1"/>
    </xf>
    <xf numFmtId="3" fontId="0" fillId="0" borderId="40" xfId="0" applyNumberFormat="1" applyBorder="1" applyAlignment="1">
      <alignment horizontal="center"/>
    </xf>
    <xf numFmtId="3" fontId="27" fillId="0" borderId="41" xfId="0" applyNumberFormat="1" applyFont="1" applyBorder="1" applyAlignment="1">
      <alignment horizontal="center"/>
    </xf>
    <xf numFmtId="3" fontId="32" fillId="12" borderId="0" xfId="2" applyNumberFormat="1" applyFont="1" applyFill="1" applyBorder="1" applyAlignment="1">
      <alignment horizontal="center" vertical="center"/>
    </xf>
    <xf numFmtId="3" fontId="32" fillId="12" borderId="0" xfId="2" applyNumberFormat="1" applyFont="1" applyFill="1" applyBorder="1" applyAlignment="1">
      <alignment horizontal="center"/>
    </xf>
    <xf numFmtId="3" fontId="26" fillId="12" borderId="0" xfId="2" applyNumberFormat="1" applyFont="1" applyFill="1" applyBorder="1" applyAlignment="1">
      <alignment horizontal="center" wrapText="1"/>
    </xf>
    <xf numFmtId="3" fontId="33" fillId="12" borderId="0" xfId="2" applyNumberFormat="1" applyFont="1" applyFill="1" applyBorder="1" applyAlignment="1">
      <alignment horizontal="center"/>
    </xf>
    <xf numFmtId="3" fontId="24" fillId="12" borderId="0" xfId="2" applyNumberFormat="1" applyFont="1" applyFill="1" applyBorder="1" applyAlignment="1">
      <alignment horizontal="center" wrapText="1"/>
    </xf>
    <xf numFmtId="3" fontId="34" fillId="12" borderId="0" xfId="2" applyNumberFormat="1" applyFont="1" applyFill="1" applyBorder="1" applyAlignment="1">
      <alignment horizontal="center"/>
    </xf>
    <xf numFmtId="3" fontId="35" fillId="12" borderId="0" xfId="2" applyNumberFormat="1" applyFont="1" applyFill="1" applyBorder="1" applyAlignment="1">
      <alignment horizontal="center"/>
    </xf>
    <xf numFmtId="3" fontId="24" fillId="12" borderId="43" xfId="2" applyNumberFormat="1" applyFont="1" applyFill="1" applyBorder="1" applyAlignment="1">
      <alignment horizontal="left" wrapText="1"/>
    </xf>
    <xf numFmtId="0" fontId="1" fillId="12" borderId="43" xfId="2" applyFill="1" applyBorder="1"/>
    <xf numFmtId="0" fontId="1" fillId="12" borderId="44" xfId="2" applyFill="1" applyBorder="1"/>
    <xf numFmtId="0" fontId="1" fillId="12" borderId="0" xfId="2" applyFill="1" applyBorder="1"/>
    <xf numFmtId="0" fontId="1" fillId="12" borderId="46" xfId="2" applyFill="1" applyBorder="1"/>
    <xf numFmtId="3" fontId="26" fillId="12" borderId="48" xfId="2" applyNumberFormat="1" applyFont="1" applyFill="1" applyBorder="1" applyAlignment="1">
      <alignment horizontal="left" wrapText="1"/>
    </xf>
    <xf numFmtId="0" fontId="1" fillId="12" borderId="48" xfId="2" applyFill="1" applyBorder="1"/>
    <xf numFmtId="0" fontId="1" fillId="12" borderId="49" xfId="2" applyFill="1" applyBorder="1"/>
    <xf numFmtId="3" fontId="30" fillId="0" borderId="0" xfId="0" applyNumberFormat="1" applyFont="1" applyBorder="1" applyAlignment="1">
      <alignment horizontal="center"/>
    </xf>
    <xf numFmtId="3" fontId="26" fillId="0" borderId="46" xfId="0" applyNumberFormat="1" applyFont="1" applyBorder="1" applyAlignment="1">
      <alignment horizontal="left" wrapText="1"/>
    </xf>
    <xf numFmtId="3" fontId="36" fillId="0" borderId="0" xfId="0" applyNumberFormat="1" applyFont="1" applyBorder="1" applyAlignment="1">
      <alignment horizontal="center"/>
    </xf>
    <xf numFmtId="3" fontId="29" fillId="0" borderId="0" xfId="0" applyNumberFormat="1" applyFont="1" applyBorder="1" applyAlignment="1">
      <alignment horizontal="center" vertical="center"/>
    </xf>
    <xf numFmtId="16" fontId="0" fillId="5" borderId="13" xfId="0" applyNumberFormat="1" applyFill="1" applyBorder="1"/>
    <xf numFmtId="0" fontId="1" fillId="5" borderId="13" xfId="0" applyFont="1" applyFill="1" applyBorder="1"/>
    <xf numFmtId="0" fontId="1" fillId="4" borderId="13" xfId="0" applyFont="1" applyFill="1" applyBorder="1"/>
    <xf numFmtId="0" fontId="1" fillId="8" borderId="13" xfId="0" applyFont="1" applyFill="1" applyBorder="1"/>
    <xf numFmtId="165" fontId="1" fillId="7" borderId="13" xfId="0" applyNumberFormat="1" applyFont="1" applyFill="1" applyBorder="1"/>
    <xf numFmtId="0" fontId="2" fillId="0" borderId="0" xfId="0" applyFont="1" applyBorder="1"/>
    <xf numFmtId="0" fontId="2" fillId="0" borderId="0" xfId="0" applyFont="1" applyBorder="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0" xfId="0" applyFont="1" applyBorder="1" applyAlignment="1">
      <alignment wrapText="1"/>
    </xf>
    <xf numFmtId="0" fontId="0" fillId="5" borderId="14" xfId="0" applyFill="1" applyBorder="1" applyAlignment="1"/>
    <xf numFmtId="0" fontId="0" fillId="0" borderId="1" xfId="0" applyBorder="1" applyAlignment="1"/>
    <xf numFmtId="0" fontId="0" fillId="6" borderId="14" xfId="0" applyFill="1" applyBorder="1" applyAlignment="1"/>
    <xf numFmtId="0" fontId="0" fillId="8" borderId="14" xfId="0" applyFill="1" applyBorder="1" applyAlignment="1"/>
    <xf numFmtId="0" fontId="0" fillId="8" borderId="1" xfId="0" applyFill="1" applyBorder="1" applyAlignment="1"/>
    <xf numFmtId="0" fontId="0" fillId="4" borderId="11" xfId="0" applyFill="1" applyBorder="1" applyAlignment="1">
      <alignment horizontal="center"/>
    </xf>
    <xf numFmtId="0" fontId="0" fillId="0" borderId="51" xfId="0" applyBorder="1" applyAlignment="1"/>
    <xf numFmtId="0" fontId="5" fillId="0" borderId="12" xfId="0" applyFont="1" applyBorder="1" applyAlignment="1"/>
    <xf numFmtId="0" fontId="5" fillId="0" borderId="11" xfId="0" applyFont="1" applyBorder="1" applyAlignment="1"/>
    <xf numFmtId="0" fontId="5" fillId="0" borderId="19" xfId="0" applyFont="1" applyBorder="1" applyAlignment="1"/>
    <xf numFmtId="0" fontId="0" fillId="0" borderId="50" xfId="0" applyBorder="1" applyAlignment="1"/>
    <xf numFmtId="0" fontId="0" fillId="0" borderId="14" xfId="0" applyBorder="1" applyAlignment="1"/>
    <xf numFmtId="0" fontId="0" fillId="0" borderId="11" xfId="0" applyBorder="1" applyAlignment="1"/>
    <xf numFmtId="0" fontId="0" fillId="0" borderId="6" xfId="0" applyBorder="1" applyAlignment="1"/>
    <xf numFmtId="49" fontId="21" fillId="11" borderId="0" xfId="2" applyNumberFormat="1" applyFont="1" applyFill="1" applyAlignment="1">
      <alignment horizontal="center"/>
    </xf>
    <xf numFmtId="49" fontId="21" fillId="11" borderId="0" xfId="2" applyNumberFormat="1" applyFont="1" applyFill="1" applyAlignment="1"/>
    <xf numFmtId="0" fontId="1" fillId="0" borderId="0" xfId="2" applyAlignment="1"/>
    <xf numFmtId="49" fontId="21" fillId="11" borderId="0" xfId="0" applyNumberFormat="1" applyFont="1" applyFill="1" applyAlignment="1">
      <alignment horizontal="center"/>
    </xf>
    <xf numFmtId="49" fontId="21" fillId="11" borderId="0" xfId="0" applyNumberFormat="1" applyFont="1" applyFill="1" applyAlignment="1"/>
    <xf numFmtId="0" fontId="0" fillId="0" borderId="0" xfId="0" applyAlignment="1"/>
    <xf numFmtId="3" fontId="26" fillId="12" borderId="0" xfId="2" applyNumberFormat="1" applyFont="1" applyFill="1" applyBorder="1" applyAlignment="1">
      <alignment horizontal="center" wrapText="1"/>
    </xf>
    <xf numFmtId="0" fontId="0" fillId="0" borderId="0" xfId="0" applyAlignment="1">
      <alignment horizontal="center" wrapText="1"/>
    </xf>
    <xf numFmtId="0" fontId="0" fillId="0" borderId="0" xfId="0" applyAlignment="1">
      <alignment horizontal="center"/>
    </xf>
    <xf numFmtId="3" fontId="26" fillId="12" borderId="0" xfId="2" applyNumberFormat="1" applyFont="1" applyFill="1" applyBorder="1" applyAlignment="1">
      <alignment horizontal="center" vertical="center" wrapText="1"/>
    </xf>
    <xf numFmtId="0" fontId="0" fillId="0" borderId="0" xfId="0" applyAlignment="1">
      <alignment horizontal="center" vertical="center" wrapText="1"/>
    </xf>
    <xf numFmtId="3" fontId="26" fillId="12" borderId="48" xfId="2" applyNumberFormat="1" applyFont="1" applyFill="1" applyBorder="1" applyAlignment="1">
      <alignment horizontal="center" wrapText="1"/>
    </xf>
    <xf numFmtId="0" fontId="17" fillId="0" borderId="0" xfId="0" applyFont="1" applyBorder="1" applyAlignment="1"/>
    <xf numFmtId="165" fontId="1" fillId="7" borderId="11" xfId="0" applyNumberFormat="1" applyFont="1" applyFill="1" applyBorder="1" applyAlignment="1">
      <alignment horizontal="center" vertical="center"/>
    </xf>
  </cellXfs>
  <cellStyles count="3">
    <cellStyle name="Hyperlink" xfId="1" builtinId="8"/>
    <cellStyle name="Normal" xfId="0" builtinId="0"/>
    <cellStyle name="Normal_Boat Club Accounts new (incomplete)"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www.christs.cam.ac.uk/boatclub/index.php?title=David_Garner&amp;action=edit&amp;redlink=1" TargetMode="External"/><Relationship Id="rId117" Type="http://schemas.openxmlformats.org/officeDocument/2006/relationships/printerSettings" Target="../printerSettings/printerSettings3.bin"/><Relationship Id="rId21" Type="http://schemas.openxmlformats.org/officeDocument/2006/relationships/hyperlink" Target="http://www.christs.cam.ac.uk/boatclub/index.php?title=Charlotte_Kendall&amp;action=edit&amp;redlink=1" TargetMode="External"/><Relationship Id="rId42" Type="http://schemas.openxmlformats.org/officeDocument/2006/relationships/hyperlink" Target="http://www.christs.cam.ac.uk/boatclub/index.php/Malte_Feldmann" TargetMode="External"/><Relationship Id="rId47" Type="http://schemas.openxmlformats.org/officeDocument/2006/relationships/hyperlink" Target="http://www.christs.cam.ac.uk/boatclub/index.php/Mike_Upton" TargetMode="External"/><Relationship Id="rId63" Type="http://schemas.openxmlformats.org/officeDocument/2006/relationships/hyperlink" Target="http://www.christs.cam.ac.uk/boatclub/index.php/Chris_Cheel" TargetMode="External"/><Relationship Id="rId68" Type="http://schemas.openxmlformats.org/officeDocument/2006/relationships/hyperlink" Target="http://www.srcf.ucam.org/christsbc/index.php?title=Jonny_Thompson&amp;action=edit" TargetMode="External"/><Relationship Id="rId84" Type="http://schemas.openxmlformats.org/officeDocument/2006/relationships/hyperlink" Target="http://www.srcf.ucam.org/christsbc/index.php?title=Sarah_Gardner&amp;action=edit" TargetMode="External"/><Relationship Id="rId89" Type="http://schemas.openxmlformats.org/officeDocument/2006/relationships/hyperlink" Target="http://www.srcf.ucam.org/christsbc/index.php?title=Flo_Wolfe" TargetMode="External"/><Relationship Id="rId112" Type="http://schemas.openxmlformats.org/officeDocument/2006/relationships/hyperlink" Target="http://www.srcf.ucam.org/christsbc/index.php?title=Chris_Cheel" TargetMode="External"/><Relationship Id="rId16" Type="http://schemas.openxmlformats.org/officeDocument/2006/relationships/hyperlink" Target="http://www.christs.cam.ac.uk/boatclub/index.php?title=Farhana_Ahmadi&amp;action=edit&amp;redlink=1" TargetMode="External"/><Relationship Id="rId107" Type="http://schemas.openxmlformats.org/officeDocument/2006/relationships/hyperlink" Target="http://www.srcf.ucam.org/christsbc/index.php?title=Esther_Gordon-Smith" TargetMode="External"/><Relationship Id="rId11" Type="http://schemas.openxmlformats.org/officeDocument/2006/relationships/hyperlink" Target="http://www.christs.cam.ac.uk/boatclub/index.php?title=Michael_Furman&amp;action=edit&amp;redlink=1" TargetMode="External"/><Relationship Id="rId24" Type="http://schemas.openxmlformats.org/officeDocument/2006/relationships/hyperlink" Target="http://www.christs.cam.ac.uk/boatclub/index.php?title=Qasim_Gulamhusein&amp;action=edit&amp;redlink=1" TargetMode="External"/><Relationship Id="rId32" Type="http://schemas.openxmlformats.org/officeDocument/2006/relationships/hyperlink" Target="http://www.christs.cam.ac.uk/boatclub/index.php?title=Rachael_Stubbins&amp;action=edit&amp;redlink=1" TargetMode="External"/><Relationship Id="rId37" Type="http://schemas.openxmlformats.org/officeDocument/2006/relationships/hyperlink" Target="http://www.christs.cam.ac.uk/boatclub/index.php?title=Rebecca_Hutichinson&amp;action=edit&amp;redlink=1" TargetMode="External"/><Relationship Id="rId40" Type="http://schemas.openxmlformats.org/officeDocument/2006/relationships/hyperlink" Target="http://www.christs.cam.ac.uk/boatclub/index.php?title=Valerie_Teh&amp;action=edit&amp;redlink=1" TargetMode="External"/><Relationship Id="rId45" Type="http://schemas.openxmlformats.org/officeDocument/2006/relationships/hyperlink" Target="http://www.christs.cam.ac.uk/boatclub/index.php/Rob_Courtney" TargetMode="External"/><Relationship Id="rId53" Type="http://schemas.openxmlformats.org/officeDocument/2006/relationships/hyperlink" Target="http://www.christs.cam.ac.uk/boatclub/index.php?title=Sarah_Gardner&amp;action=edit&amp;redlink=1" TargetMode="External"/><Relationship Id="rId58" Type="http://schemas.openxmlformats.org/officeDocument/2006/relationships/hyperlink" Target="http://www.christs.cam.ac.uk/boatclub/index.php/Flo_Wolfe" TargetMode="External"/><Relationship Id="rId66" Type="http://schemas.openxmlformats.org/officeDocument/2006/relationships/hyperlink" Target="http://www.christs.cam.ac.uk/boatclub/index.php/Simon_Martin" TargetMode="External"/><Relationship Id="rId74" Type="http://schemas.openxmlformats.org/officeDocument/2006/relationships/hyperlink" Target="http://www.srcf.ucam.org/christsbc/index.php?title=Charlie_Heron" TargetMode="External"/><Relationship Id="rId79" Type="http://schemas.openxmlformats.org/officeDocument/2006/relationships/hyperlink" Target="http://www.srcf.ucam.org/christsbc/index.php?title=Mike_Housden" TargetMode="External"/><Relationship Id="rId87" Type="http://schemas.openxmlformats.org/officeDocument/2006/relationships/hyperlink" Target="http://www.srcf.ucam.org/christsbc/index.php?title=Julia_Schlicht&amp;action=edit" TargetMode="External"/><Relationship Id="rId102" Type="http://schemas.openxmlformats.org/officeDocument/2006/relationships/hyperlink" Target="http://www.srcf.ucam.org/christsbc/index.php?title=Becky_Chislett" TargetMode="External"/><Relationship Id="rId110" Type="http://schemas.openxmlformats.org/officeDocument/2006/relationships/hyperlink" Target="http://www.srcf.ucam.org/christsbc/index.php?title=George_Watson" TargetMode="External"/><Relationship Id="rId115" Type="http://schemas.openxmlformats.org/officeDocument/2006/relationships/hyperlink" Target="http://www.srcf.ucam.org/christsbc/index.php?title=Simon_Martin" TargetMode="External"/><Relationship Id="rId5" Type="http://schemas.openxmlformats.org/officeDocument/2006/relationships/hyperlink" Target="http://www.christs.cam.ac.uk/boatclub/index.php/Scott_Furey" TargetMode="External"/><Relationship Id="rId61" Type="http://schemas.openxmlformats.org/officeDocument/2006/relationships/hyperlink" Target="http://www.christs.cam.ac.uk/boatclub/index.php/James_Harper" TargetMode="External"/><Relationship Id="rId82" Type="http://schemas.openxmlformats.org/officeDocument/2006/relationships/hyperlink" Target="http://www.srcf.ucam.org/christsbc/index.php?title=Nicola_Norman" TargetMode="External"/><Relationship Id="rId90" Type="http://schemas.openxmlformats.org/officeDocument/2006/relationships/hyperlink" Target="http://www.srcf.ucam.org/christsbc/index.php?title=Will_Hanschell" TargetMode="External"/><Relationship Id="rId95" Type="http://schemas.openxmlformats.org/officeDocument/2006/relationships/hyperlink" Target="http://www.srcf.ucam.org/christsbc/index.php?title=Paul_Verhaak&amp;action=edit" TargetMode="External"/><Relationship Id="rId19" Type="http://schemas.openxmlformats.org/officeDocument/2006/relationships/hyperlink" Target="http://www.christs.cam.ac.uk/boatclub/index.php?title=Emmie_Hodges&amp;action=edit&amp;redlink=1" TargetMode="External"/><Relationship Id="rId14" Type="http://schemas.openxmlformats.org/officeDocument/2006/relationships/hyperlink" Target="http://www.christs.cam.ac.uk/boatclub/index.php?title=Animish_Sivaramakrishnan&amp;action=edit&amp;redlink=1" TargetMode="External"/><Relationship Id="rId22" Type="http://schemas.openxmlformats.org/officeDocument/2006/relationships/hyperlink" Target="http://www.christs.cam.ac.uk/boatclub/index.php?title=Amanda_Foan&amp;action=edit&amp;redlink=1" TargetMode="External"/><Relationship Id="rId27" Type="http://schemas.openxmlformats.org/officeDocument/2006/relationships/hyperlink" Target="http://www.christs.cam.ac.uk/boatclub/index.php?title=Spencer_Ong&amp;action=edit&amp;redlink=1" TargetMode="External"/><Relationship Id="rId30" Type="http://schemas.openxmlformats.org/officeDocument/2006/relationships/hyperlink" Target="http://www.christs.cam.ac.uk/boatclub/index.php?title=Mike_Howe&amp;action=edit&amp;redlink=1" TargetMode="External"/><Relationship Id="rId35" Type="http://schemas.openxmlformats.org/officeDocument/2006/relationships/hyperlink" Target="http://www.christs.cam.ac.uk/boatclub/index.php?title=Holly_Braine&amp;action=edit&amp;redlink=1" TargetMode="External"/><Relationship Id="rId43" Type="http://schemas.openxmlformats.org/officeDocument/2006/relationships/hyperlink" Target="http://www.christs.cam.ac.uk/boatclub/index.php/James_Pearson" TargetMode="External"/><Relationship Id="rId48" Type="http://schemas.openxmlformats.org/officeDocument/2006/relationships/hyperlink" Target="http://www.christs.cam.ac.uk/boatclub/index.php?title=Marcel_Omachel&amp;action=edit&amp;redlink=1" TargetMode="External"/><Relationship Id="rId56" Type="http://schemas.openxmlformats.org/officeDocument/2006/relationships/hyperlink" Target="http://www.christs.cam.ac.uk/boatclub/index.php?title=Laura_Giles&amp;action=edit&amp;redlink=1" TargetMode="External"/><Relationship Id="rId64" Type="http://schemas.openxmlformats.org/officeDocument/2006/relationships/hyperlink" Target="http://www.christs.cam.ac.uk/boatclub/index.php/Vin_Shen_Ban" TargetMode="External"/><Relationship Id="rId69" Type="http://schemas.openxmlformats.org/officeDocument/2006/relationships/hyperlink" Target="http://www.srcf.ucam.org/christsbc/index.php?title=Adam_Southgate" TargetMode="External"/><Relationship Id="rId77" Type="http://schemas.openxmlformats.org/officeDocument/2006/relationships/hyperlink" Target="http://www.srcf.ucam.org/christsbc/index.php?title=Mark_Lawrence&amp;action=edit" TargetMode="External"/><Relationship Id="rId100" Type="http://schemas.openxmlformats.org/officeDocument/2006/relationships/hyperlink" Target="http://www.srcf.ucam.org/christsbc/index.php?title=Sofia_Wallstrom&amp;action=edit" TargetMode="External"/><Relationship Id="rId105" Type="http://schemas.openxmlformats.org/officeDocument/2006/relationships/hyperlink" Target="http://www.srcf.ucam.org/christsbc/index.php?title=Mary_Bjorkegren" TargetMode="External"/><Relationship Id="rId113" Type="http://schemas.openxmlformats.org/officeDocument/2006/relationships/hyperlink" Target="http://www.srcf.ucam.org/christsbc/index.php?title=Duncan_Bull" TargetMode="External"/><Relationship Id="rId8" Type="http://schemas.openxmlformats.org/officeDocument/2006/relationships/hyperlink" Target="http://www.christs.cam.ac.uk/boatclub/index.php?title=Alex_Ngoi&amp;action=edit&amp;redlink=1" TargetMode="External"/><Relationship Id="rId51" Type="http://schemas.openxmlformats.org/officeDocument/2006/relationships/hyperlink" Target="http://www.christs.cam.ac.uk/boatclub/index.php/Becky_Chislett" TargetMode="External"/><Relationship Id="rId72" Type="http://schemas.openxmlformats.org/officeDocument/2006/relationships/hyperlink" Target="http://www.srcf.ucam.org/christsbc/index.php?title=Thom_Jenkins" TargetMode="External"/><Relationship Id="rId80" Type="http://schemas.openxmlformats.org/officeDocument/2006/relationships/hyperlink" Target="http://www.srcf.ucam.org/christsbc/index.php?title=Guy_Naylor&amp;action=edit" TargetMode="External"/><Relationship Id="rId85" Type="http://schemas.openxmlformats.org/officeDocument/2006/relationships/hyperlink" Target="http://www.srcf.ucam.org/christsbc/index.php?title=Clementine_Beuvais_and_Hannah_Massey&amp;action=edit" TargetMode="External"/><Relationship Id="rId93" Type="http://schemas.openxmlformats.org/officeDocument/2006/relationships/hyperlink" Target="http://www.srcf.ucam.org/christsbc/index.php?title=Salman_Bham" TargetMode="External"/><Relationship Id="rId98" Type="http://schemas.openxmlformats.org/officeDocument/2006/relationships/hyperlink" Target="http://www.srcf.ucam.org/christsbc/index.php?title=Katie_Sexton&amp;action=edit" TargetMode="External"/><Relationship Id="rId3" Type="http://schemas.openxmlformats.org/officeDocument/2006/relationships/hyperlink" Target="http://www.christs.cam.ac.uk/boatclub/index.php/Salman_Bham" TargetMode="External"/><Relationship Id="rId12" Type="http://schemas.openxmlformats.org/officeDocument/2006/relationships/hyperlink" Target="http://www.christs.cam.ac.uk/boatclub/index.php/Seth_Bresnett" TargetMode="External"/><Relationship Id="rId17" Type="http://schemas.openxmlformats.org/officeDocument/2006/relationships/hyperlink" Target="http://www.christs.cam.ac.uk/boatclub/index.php?title=Jo_Hardley&amp;action=edit&amp;redlink=1" TargetMode="External"/><Relationship Id="rId25" Type="http://schemas.openxmlformats.org/officeDocument/2006/relationships/hyperlink" Target="http://www.christs.cam.ac.uk/boatclub/index.php?title=Kasim_Khorasanee&amp;action=edit&amp;redlink=1" TargetMode="External"/><Relationship Id="rId33" Type="http://schemas.openxmlformats.org/officeDocument/2006/relationships/hyperlink" Target="http://www.christs.cam.ac.uk/boatclub/index.php?title=Sabrina_Bezzaa&amp;action=edit&amp;redlink=1" TargetMode="External"/><Relationship Id="rId38" Type="http://schemas.openxmlformats.org/officeDocument/2006/relationships/hyperlink" Target="http://www.christs.cam.ac.uk/boatclub/index.php?title=Charlotte_Smith&amp;action=edit&amp;redlink=1" TargetMode="External"/><Relationship Id="rId46" Type="http://schemas.openxmlformats.org/officeDocument/2006/relationships/hyperlink" Target="http://www.christs.cam.ac.uk/boatclub/index.php?title=Leland_Burns&amp;action=edit&amp;redlink=1" TargetMode="External"/><Relationship Id="rId59" Type="http://schemas.openxmlformats.org/officeDocument/2006/relationships/hyperlink" Target="http://www.christs.cam.ac.uk/boatclub/index.php/Patrick_Breen" TargetMode="External"/><Relationship Id="rId67" Type="http://schemas.openxmlformats.org/officeDocument/2006/relationships/hyperlink" Target="http://www.christs.cam.ac.uk/boatclub/index.php/Katie_Sexton" TargetMode="External"/><Relationship Id="rId103" Type="http://schemas.openxmlformats.org/officeDocument/2006/relationships/hyperlink" Target="http://www.srcf.ucam.org/christsbc/index.php?title=Lizzy_Trevor" TargetMode="External"/><Relationship Id="rId108" Type="http://schemas.openxmlformats.org/officeDocument/2006/relationships/hyperlink" Target="http://www.srcf.ucam.org/christsbc/index.php?title=Adam_Bargh" TargetMode="External"/><Relationship Id="rId116" Type="http://schemas.openxmlformats.org/officeDocument/2006/relationships/hyperlink" Target="http://www.srcf.ucam.org/christsbc/index.php?title=Liz_Box" TargetMode="External"/><Relationship Id="rId20" Type="http://schemas.openxmlformats.org/officeDocument/2006/relationships/hyperlink" Target="http://www.christs.cam.ac.uk/boatclub/index.php?title=Li_Ling_Quek&amp;action=edit&amp;redlink=1" TargetMode="External"/><Relationship Id="rId41" Type="http://schemas.openxmlformats.org/officeDocument/2006/relationships/hyperlink" Target="http://www.christs.cam.ac.uk/boatclub/index.php?title=Yohan_Sanmugam&amp;action=edit&amp;redlink=1" TargetMode="External"/><Relationship Id="rId54" Type="http://schemas.openxmlformats.org/officeDocument/2006/relationships/hyperlink" Target="http://www.christs.cam.ac.uk/boatclub/index.php/Lizzy_Trevor" TargetMode="External"/><Relationship Id="rId62" Type="http://schemas.openxmlformats.org/officeDocument/2006/relationships/hyperlink" Target="http://www.christs.cam.ac.uk/boatclub/index.php/Duncan_Bull" TargetMode="External"/><Relationship Id="rId70" Type="http://schemas.openxmlformats.org/officeDocument/2006/relationships/hyperlink" Target="http://www.srcf.ucam.org/christsbc/index.php?title=Mike_Gardiner" TargetMode="External"/><Relationship Id="rId75" Type="http://schemas.openxmlformats.org/officeDocument/2006/relationships/hyperlink" Target="http://www.srcf.ucam.org/christsbc/index.php?title=Danny_Longman" TargetMode="External"/><Relationship Id="rId83" Type="http://schemas.openxmlformats.org/officeDocument/2006/relationships/hyperlink" Target="http://www.srcf.ucam.org/christsbc/index.php?title=Sajanthi_Nathan&amp;action=edit" TargetMode="External"/><Relationship Id="rId88" Type="http://schemas.openxmlformats.org/officeDocument/2006/relationships/hyperlink" Target="http://www.srcf.ucam.org/christsbc/index.php?title=Hannah_Meghji&amp;action=edit" TargetMode="External"/><Relationship Id="rId91" Type="http://schemas.openxmlformats.org/officeDocument/2006/relationships/hyperlink" Target="http://www.srcf.ucam.org/christsbc/index.php?title=Simon_Holland" TargetMode="External"/><Relationship Id="rId96" Type="http://schemas.openxmlformats.org/officeDocument/2006/relationships/hyperlink" Target="http://www.srcf.ucam.org/christsbc/index.php?title=Patrick_Breen" TargetMode="External"/><Relationship Id="rId111" Type="http://schemas.openxmlformats.org/officeDocument/2006/relationships/hyperlink" Target="http://www.srcf.ucam.org/christsbc/index.php?title=Jack_Eyre" TargetMode="External"/><Relationship Id="rId1" Type="http://schemas.openxmlformats.org/officeDocument/2006/relationships/hyperlink" Target="http://www.christs.cam.ac.uk/boatclub/index.php?title=Lucas_Perez-Trujillo&amp;action=edit&amp;redlink=1" TargetMode="External"/><Relationship Id="rId6" Type="http://schemas.openxmlformats.org/officeDocument/2006/relationships/hyperlink" Target="http://www.christs.cam.ac.uk/boatclub/index.php?title=Ben_Gaston&amp;action=edit&amp;redlink=1" TargetMode="External"/><Relationship Id="rId15" Type="http://schemas.openxmlformats.org/officeDocument/2006/relationships/hyperlink" Target="http://www.christs.cam.ac.uk/boatclub/index.php?title=Abarna_Ramanathan&amp;action=edit&amp;redlink=1" TargetMode="External"/><Relationship Id="rId23" Type="http://schemas.openxmlformats.org/officeDocument/2006/relationships/hyperlink" Target="http://www.christs.cam.ac.uk/boatclub/index.php?title=Lizzie_Wann&amp;action=edit&amp;redlink=1" TargetMode="External"/><Relationship Id="rId28" Type="http://schemas.openxmlformats.org/officeDocument/2006/relationships/hyperlink" Target="http://www.christs.cam.ac.uk/boatclub/index.php?title=Xi_Jin&amp;action=edit&amp;redlink=1" TargetMode="External"/><Relationship Id="rId36" Type="http://schemas.openxmlformats.org/officeDocument/2006/relationships/hyperlink" Target="http://www.christs.cam.ac.uk/boatclub/index.php?title=Fran_Knight&amp;action=edit&amp;redlink=1" TargetMode="External"/><Relationship Id="rId49" Type="http://schemas.openxmlformats.org/officeDocument/2006/relationships/hyperlink" Target="http://www.christs.cam.ac.uk/boatclub/index.php?title=Caroline_Sanders&amp;action=edit&amp;redlink=1" TargetMode="External"/><Relationship Id="rId57" Type="http://schemas.openxmlformats.org/officeDocument/2006/relationships/hyperlink" Target="http://www.christs.cam.ac.uk/boatclub/index.php?title=Sofia_Wallstrom&amp;action=edit&amp;redlink=1" TargetMode="External"/><Relationship Id="rId106" Type="http://schemas.openxmlformats.org/officeDocument/2006/relationships/hyperlink" Target="http://www.srcf.ucam.org/christsbc/index.php?title=Eddie_Surtees" TargetMode="External"/><Relationship Id="rId114" Type="http://schemas.openxmlformats.org/officeDocument/2006/relationships/hyperlink" Target="http://www.srcf.ucam.org/christsbc/index.php?title=Chris_Worley" TargetMode="External"/><Relationship Id="rId10" Type="http://schemas.openxmlformats.org/officeDocument/2006/relationships/hyperlink" Target="http://www.christs.cam.ac.uk/boatclub/index.php?title=Raymond_Li&amp;action=edit&amp;redlink=1" TargetMode="External"/><Relationship Id="rId31" Type="http://schemas.openxmlformats.org/officeDocument/2006/relationships/hyperlink" Target="http://www.christs.cam.ac.uk/boatclub/index.php?title=Ali_Donaghy&amp;action=edit&amp;redlink=1" TargetMode="External"/><Relationship Id="rId44" Type="http://schemas.openxmlformats.org/officeDocument/2006/relationships/hyperlink" Target="http://www.christs.cam.ac.uk/boatclub/index.php/Nick_Zhang" TargetMode="External"/><Relationship Id="rId52" Type="http://schemas.openxmlformats.org/officeDocument/2006/relationships/hyperlink" Target="http://www.christs.cam.ac.uk/boatclub/index.php/Hannah_Massey" TargetMode="External"/><Relationship Id="rId60" Type="http://schemas.openxmlformats.org/officeDocument/2006/relationships/hyperlink" Target="http://www.christs.cam.ac.uk/boatclub/index.php?title=Paul_Verhaak&amp;action=edit&amp;redlink=1" TargetMode="External"/><Relationship Id="rId65" Type="http://schemas.openxmlformats.org/officeDocument/2006/relationships/hyperlink" Target="http://www.christs.cam.ac.uk/boatclub/index.php/George_Watson" TargetMode="External"/><Relationship Id="rId73" Type="http://schemas.openxmlformats.org/officeDocument/2006/relationships/hyperlink" Target="http://www.srcf.ucam.org/christsbc/index.php?title=Tyler_Hester" TargetMode="External"/><Relationship Id="rId78" Type="http://schemas.openxmlformats.org/officeDocument/2006/relationships/hyperlink" Target="http://www.srcf.ucam.org/christsbc/index.php?title=James_Jones" TargetMode="External"/><Relationship Id="rId81" Type="http://schemas.openxmlformats.org/officeDocument/2006/relationships/hyperlink" Target="http://www.srcf.ucam.org/christsbc/index.php?title=Apoorva_Kapavarapu&amp;action=edit" TargetMode="External"/><Relationship Id="rId86" Type="http://schemas.openxmlformats.org/officeDocument/2006/relationships/hyperlink" Target="http://www.srcf.ucam.org/christsbc/index.php?title=Chloe_Hole" TargetMode="External"/><Relationship Id="rId94" Type="http://schemas.openxmlformats.org/officeDocument/2006/relationships/hyperlink" Target="http://www.srcf.ucam.org/christsbc/index.php?title=Chris_Philpot" TargetMode="External"/><Relationship Id="rId99" Type="http://schemas.openxmlformats.org/officeDocument/2006/relationships/hyperlink" Target="http://www.srcf.ucam.org/christsbc/index.php?title=Pippa_Hammond" TargetMode="External"/><Relationship Id="rId101" Type="http://schemas.openxmlformats.org/officeDocument/2006/relationships/hyperlink" Target="http://www.srcf.ucam.org/christsbc/index.php?title=Katie_Thornton" TargetMode="External"/><Relationship Id="rId4" Type="http://schemas.openxmlformats.org/officeDocument/2006/relationships/hyperlink" Target="http://www.christs.cam.ac.uk/boatclub/index.php/Will_Hanschell" TargetMode="External"/><Relationship Id="rId9" Type="http://schemas.openxmlformats.org/officeDocument/2006/relationships/hyperlink" Target="http://www.christs.cam.ac.uk/boatclub/index.php?title=Andy_Pushakk&amp;action=edit&amp;redlink=1" TargetMode="External"/><Relationship Id="rId13" Type="http://schemas.openxmlformats.org/officeDocument/2006/relationships/hyperlink" Target="http://www.christs.cam.ac.uk/boatclub/index.php?title=Jonny_Bassett&amp;action=edit&amp;redlink=1" TargetMode="External"/><Relationship Id="rId18" Type="http://schemas.openxmlformats.org/officeDocument/2006/relationships/hyperlink" Target="http://www.christs.cam.ac.uk/boatclub/index.php?title=Sarah_de_Lacy&amp;action=edit&amp;redlink=1" TargetMode="External"/><Relationship Id="rId39" Type="http://schemas.openxmlformats.org/officeDocument/2006/relationships/hyperlink" Target="http://www.christs.cam.ac.uk/boatclub/index.php?title=Lucy_Boulding&amp;action=edit&amp;redlink=1" TargetMode="External"/><Relationship Id="rId109" Type="http://schemas.openxmlformats.org/officeDocument/2006/relationships/hyperlink" Target="http://www.srcf.ucam.org/christsbc/index.php?title=Charlie_Ferguson" TargetMode="External"/><Relationship Id="rId34" Type="http://schemas.openxmlformats.org/officeDocument/2006/relationships/hyperlink" Target="http://www.christs.cam.ac.uk/boatclub/index.php?title=Lucy_Griffin&amp;action=edit&amp;redlink=1" TargetMode="External"/><Relationship Id="rId50" Type="http://schemas.openxmlformats.org/officeDocument/2006/relationships/hyperlink" Target="http://www.christs.cam.ac.uk/boatclub/index.php?title=Hannah_Meghji&amp;action=edit&amp;redlink=1" TargetMode="External"/><Relationship Id="rId55" Type="http://schemas.openxmlformats.org/officeDocument/2006/relationships/hyperlink" Target="http://www.christs.cam.ac.uk/boatclub/index.php/Penny_Thuesen" TargetMode="External"/><Relationship Id="rId76" Type="http://schemas.openxmlformats.org/officeDocument/2006/relationships/hyperlink" Target="http://www.srcf.ucam.org/christsbc/index.php?title=Chrisse_Podesta_/_Mash_Katunina&amp;action=edit" TargetMode="External"/><Relationship Id="rId97" Type="http://schemas.openxmlformats.org/officeDocument/2006/relationships/hyperlink" Target="http://www.srcf.ucam.org/christsbc/index.php?title=Vin_Shen_Ban" TargetMode="External"/><Relationship Id="rId104" Type="http://schemas.openxmlformats.org/officeDocument/2006/relationships/hyperlink" Target="http://www.srcf.ucam.org/christsbc/index.php?title=Penny_Thuesen" TargetMode="External"/><Relationship Id="rId7" Type="http://schemas.openxmlformats.org/officeDocument/2006/relationships/hyperlink" Target="http://www.christs.cam.ac.uk/boatclub/index.php?title=Oliver_Staves&amp;action=edit&amp;redlink=1" TargetMode="External"/><Relationship Id="rId71" Type="http://schemas.openxmlformats.org/officeDocument/2006/relationships/hyperlink" Target="http://www.srcf.ucam.org/christsbc/index.php?title=Will_Lavender&amp;action=edit" TargetMode="External"/><Relationship Id="rId92" Type="http://schemas.openxmlformats.org/officeDocument/2006/relationships/hyperlink" Target="http://www.srcf.ucam.org/christsbc/index.php?title=James_Harper" TargetMode="External"/><Relationship Id="rId2" Type="http://schemas.openxmlformats.org/officeDocument/2006/relationships/hyperlink" Target="http://www.christs.cam.ac.uk/boatclub/index.php?title=Simon_Speksnijder&amp;action=edit&amp;redlink=1" TargetMode="External"/><Relationship Id="rId29" Type="http://schemas.openxmlformats.org/officeDocument/2006/relationships/hyperlink" Target="http://www.christs.cam.ac.uk/boatclub/index.php?title=In-Yong_Hwang&amp;action=edit&amp;redlink=1"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www.christs.cam.ac.uk/boatclub/index.php?title=Fran_Knight&amp;action=edit&amp;redlink=1" TargetMode="External"/><Relationship Id="rId18" Type="http://schemas.openxmlformats.org/officeDocument/2006/relationships/hyperlink" Target="http://www.christs.cam.ac.uk/boatclub/index.php?title=Ali_Donaghy&amp;action=edit&amp;redlink=1" TargetMode="External"/><Relationship Id="rId26" Type="http://schemas.openxmlformats.org/officeDocument/2006/relationships/hyperlink" Target="http://www.christs.cam.ac.uk/boatclub/index.php?title=Lizzie_Wann&amp;action=edit&amp;redlink=1" TargetMode="External"/><Relationship Id="rId39" Type="http://schemas.openxmlformats.org/officeDocument/2006/relationships/hyperlink" Target="http://www.christs.cam.ac.uk/boatclub/index.php?title=Raymond_Li&amp;action=edit&amp;redlink=1" TargetMode="External"/><Relationship Id="rId21" Type="http://schemas.openxmlformats.org/officeDocument/2006/relationships/hyperlink" Target="http://www.christs.cam.ac.uk/boatclub/index.php?title=Xi_Jin&amp;action=edit&amp;redlink=1" TargetMode="External"/><Relationship Id="rId34" Type="http://schemas.openxmlformats.org/officeDocument/2006/relationships/hyperlink" Target="http://www.christs.cam.ac.uk/boatclub/index.php?title=Abarna_Ramanathan&amp;action=edit&amp;redlink=1" TargetMode="External"/><Relationship Id="rId42" Type="http://schemas.openxmlformats.org/officeDocument/2006/relationships/hyperlink" Target="http://www.christs.cam.ac.uk/boatclub/index.php?title=Oliver_Staves&amp;action=edit&amp;redlink=1" TargetMode="External"/><Relationship Id="rId47" Type="http://schemas.openxmlformats.org/officeDocument/2006/relationships/hyperlink" Target="http://www.christs.cam.ac.uk/boatclub/index.php?title=Leland_Burns&amp;action=edit&amp;redlink=1" TargetMode="External"/><Relationship Id="rId50" Type="http://schemas.openxmlformats.org/officeDocument/2006/relationships/hyperlink" Target="http://www.christs.cam.ac.uk/boatclub/index.php?title=Yohan_Sanmugam&amp;action=edit&amp;redlink=1" TargetMode="External"/><Relationship Id="rId55" Type="http://schemas.openxmlformats.org/officeDocument/2006/relationships/hyperlink" Target="http://www.christs.cam.ac.uk/boatclub/index.php?title=Jo_Hardley&amp;action=edit&amp;redlink=1" TargetMode="External"/><Relationship Id="rId7" Type="http://schemas.openxmlformats.org/officeDocument/2006/relationships/hyperlink" Target="http://www.christs.cam.ac.uk/boatclub/index.php/Malte_Feldmann" TargetMode="External"/><Relationship Id="rId2" Type="http://schemas.openxmlformats.org/officeDocument/2006/relationships/hyperlink" Target="http://www.christs.cam.ac.uk/boatclub/index.php?title=Marcel_Omachel&amp;action=edit&amp;redlink=1" TargetMode="External"/><Relationship Id="rId16" Type="http://schemas.openxmlformats.org/officeDocument/2006/relationships/hyperlink" Target="http://www.christs.cam.ac.uk/boatclub/index.php?title=Sabrina_Bezzaa&amp;action=edit&amp;redlink=1" TargetMode="External"/><Relationship Id="rId20" Type="http://schemas.openxmlformats.org/officeDocument/2006/relationships/hyperlink" Target="http://www.christs.cam.ac.uk/boatclub/index.php?title=In-Yong_Hwang&amp;action=edit&amp;redlink=1" TargetMode="External"/><Relationship Id="rId29" Type="http://schemas.openxmlformats.org/officeDocument/2006/relationships/hyperlink" Target="http://www.christs.cam.ac.uk/boatclub/index.php?title=Li_Ling_Quek&amp;action=edit&amp;redlink=1" TargetMode="External"/><Relationship Id="rId41" Type="http://schemas.openxmlformats.org/officeDocument/2006/relationships/hyperlink" Target="http://www.christs.cam.ac.uk/boatclub/index.php?title=Alex_Ngoi&amp;action=edit&amp;redlink=1" TargetMode="External"/><Relationship Id="rId54" Type="http://schemas.openxmlformats.org/officeDocument/2006/relationships/hyperlink" Target="http://www.christs.cam.ac.uk/boatclub/index.php?title=David_Garner&amp;action=edit&amp;redlink=1" TargetMode="External"/><Relationship Id="rId1" Type="http://schemas.openxmlformats.org/officeDocument/2006/relationships/hyperlink" Target="http://www.christs.cam.ac.uk/boatclub/index.php?title=Caroline_Sanders&amp;action=edit&amp;redlink=1" TargetMode="External"/><Relationship Id="rId6" Type="http://schemas.openxmlformats.org/officeDocument/2006/relationships/hyperlink" Target="http://www.christs.cam.ac.uk/boatclub/index.php/James_Pearson" TargetMode="External"/><Relationship Id="rId11" Type="http://schemas.openxmlformats.org/officeDocument/2006/relationships/hyperlink" Target="http://www.christs.cam.ac.uk/boatclub/index.php?title=Charlotte_Smith&amp;action=edit&amp;redlink=1" TargetMode="External"/><Relationship Id="rId24" Type="http://schemas.openxmlformats.org/officeDocument/2006/relationships/hyperlink" Target="http://www.christs.cam.ac.uk/boatclub/index.php?title=Kasim_Khorasanee&amp;action=edit&amp;redlink=1" TargetMode="External"/><Relationship Id="rId32" Type="http://schemas.openxmlformats.org/officeDocument/2006/relationships/hyperlink" Target="http://www.christs.cam.ac.uk/boatclub/index.php?title=Jo_Hardley&amp;action=edit&amp;redlink=1" TargetMode="External"/><Relationship Id="rId37" Type="http://schemas.openxmlformats.org/officeDocument/2006/relationships/hyperlink" Target="http://www.christs.cam.ac.uk/boatclub/index.php/Seth_Bresnett" TargetMode="External"/><Relationship Id="rId40" Type="http://schemas.openxmlformats.org/officeDocument/2006/relationships/hyperlink" Target="http://www.christs.cam.ac.uk/boatclub/index.php?title=Andy_Pushakk&amp;action=edit&amp;redlink=1" TargetMode="External"/><Relationship Id="rId45" Type="http://schemas.openxmlformats.org/officeDocument/2006/relationships/hyperlink" Target="http://www.christs.cam.ac.uk/boatclub/index.php?title=Marcel_Omachel&amp;action=edit&amp;redlink=1" TargetMode="External"/><Relationship Id="rId53" Type="http://schemas.openxmlformats.org/officeDocument/2006/relationships/hyperlink" Target="http://www.christs.cam.ac.uk/boatclub/index.php?title=Spencer_Ong&amp;action=edit&amp;redlink=1" TargetMode="External"/><Relationship Id="rId58" Type="http://schemas.openxmlformats.org/officeDocument/2006/relationships/hyperlink" Target="http://www.christs.cam.ac.uk/boatclub/index.php?title=Michael_Furman&amp;action=edit&amp;redlink=1" TargetMode="External"/><Relationship Id="rId5" Type="http://schemas.openxmlformats.org/officeDocument/2006/relationships/hyperlink" Target="http://www.christs.cam.ac.uk/boatclub/index.php/Nick_Zhang" TargetMode="External"/><Relationship Id="rId15" Type="http://schemas.openxmlformats.org/officeDocument/2006/relationships/hyperlink" Target="http://www.christs.cam.ac.uk/boatclub/index.php?title=Lucy_Griffin&amp;action=edit&amp;redlink=1" TargetMode="External"/><Relationship Id="rId23" Type="http://schemas.openxmlformats.org/officeDocument/2006/relationships/hyperlink" Target="http://www.christs.cam.ac.uk/boatclub/index.php?title=David_Garner&amp;action=edit&amp;redlink=1" TargetMode="External"/><Relationship Id="rId28" Type="http://schemas.openxmlformats.org/officeDocument/2006/relationships/hyperlink" Target="http://www.christs.cam.ac.uk/boatclub/index.php?title=Charlotte_Kendall&amp;action=edit&amp;redlink=1" TargetMode="External"/><Relationship Id="rId36" Type="http://schemas.openxmlformats.org/officeDocument/2006/relationships/hyperlink" Target="http://www.christs.cam.ac.uk/boatclub/index.php?title=Jonny_Bassett&amp;action=edit&amp;redlink=1" TargetMode="External"/><Relationship Id="rId49" Type="http://schemas.openxmlformats.org/officeDocument/2006/relationships/hyperlink" Target="http://www.christs.cam.ac.uk/boatclub/index.php/James_Pearson" TargetMode="External"/><Relationship Id="rId57" Type="http://schemas.openxmlformats.org/officeDocument/2006/relationships/hyperlink" Target="http://www.christs.cam.ac.uk/boatclub/index.php/Seth_Bresnett" TargetMode="External"/><Relationship Id="rId61" Type="http://schemas.openxmlformats.org/officeDocument/2006/relationships/printerSettings" Target="../printerSettings/printerSettings4.bin"/><Relationship Id="rId10" Type="http://schemas.openxmlformats.org/officeDocument/2006/relationships/hyperlink" Target="http://www.christs.cam.ac.uk/boatclub/index.php?title=Lucy_Boulding&amp;action=edit&amp;redlink=1" TargetMode="External"/><Relationship Id="rId19" Type="http://schemas.openxmlformats.org/officeDocument/2006/relationships/hyperlink" Target="http://www.christs.cam.ac.uk/boatclub/index.php?title=Mike_Howe&amp;action=edit&amp;redlink=1" TargetMode="External"/><Relationship Id="rId31" Type="http://schemas.openxmlformats.org/officeDocument/2006/relationships/hyperlink" Target="http://www.christs.cam.ac.uk/boatclub/index.php?title=Sarah_de_Lacy&amp;action=edit&amp;redlink=1" TargetMode="External"/><Relationship Id="rId44" Type="http://schemas.openxmlformats.org/officeDocument/2006/relationships/hyperlink" Target="http://www.christs.cam.ac.uk/boatclub/index.php?title=Caroline_Sanders&amp;action=edit&amp;redlink=1" TargetMode="External"/><Relationship Id="rId52" Type="http://schemas.openxmlformats.org/officeDocument/2006/relationships/hyperlink" Target="http://www.christs.cam.ac.uk/boatclub/index.php?title=Xi_Jin&amp;action=edit&amp;redlink=1" TargetMode="External"/><Relationship Id="rId60" Type="http://schemas.openxmlformats.org/officeDocument/2006/relationships/hyperlink" Target="http://www.christs.cam.ac.uk/boatclub/index.php?title=Alex_Ngoi&amp;action=edit&amp;redlink=1" TargetMode="External"/><Relationship Id="rId4" Type="http://schemas.openxmlformats.org/officeDocument/2006/relationships/hyperlink" Target="http://www.christs.cam.ac.uk/boatclub/index.php?title=Leland_Burns&amp;action=edit&amp;redlink=1" TargetMode="External"/><Relationship Id="rId9" Type="http://schemas.openxmlformats.org/officeDocument/2006/relationships/hyperlink" Target="http://www.christs.cam.ac.uk/boatclub/index.php?title=Valerie_Teh&amp;action=edit&amp;redlink=1" TargetMode="External"/><Relationship Id="rId14" Type="http://schemas.openxmlformats.org/officeDocument/2006/relationships/hyperlink" Target="http://www.christs.cam.ac.uk/boatclub/index.php?title=Holly_Braine&amp;action=edit&amp;redlink=1" TargetMode="External"/><Relationship Id="rId22" Type="http://schemas.openxmlformats.org/officeDocument/2006/relationships/hyperlink" Target="http://www.christs.cam.ac.uk/boatclub/index.php?title=Spencer_Ong&amp;action=edit&amp;redlink=1" TargetMode="External"/><Relationship Id="rId27" Type="http://schemas.openxmlformats.org/officeDocument/2006/relationships/hyperlink" Target="http://www.christs.cam.ac.uk/boatclub/index.php?title=Amanda_Foan&amp;action=edit&amp;redlink=1" TargetMode="External"/><Relationship Id="rId30" Type="http://schemas.openxmlformats.org/officeDocument/2006/relationships/hyperlink" Target="http://www.christs.cam.ac.uk/boatclub/index.php?title=Emmie_Hodges&amp;action=edit&amp;redlink=1" TargetMode="External"/><Relationship Id="rId35" Type="http://schemas.openxmlformats.org/officeDocument/2006/relationships/hyperlink" Target="http://www.christs.cam.ac.uk/boatclub/index.php?title=Animish_Sivaramakrishnan&amp;action=edit&amp;redlink=1" TargetMode="External"/><Relationship Id="rId43" Type="http://schemas.openxmlformats.org/officeDocument/2006/relationships/hyperlink" Target="http://www.christs.cam.ac.uk/boatclub/index.php?title=Lucas_Perez-Trujillo&amp;action=edit&amp;redlink=1" TargetMode="External"/><Relationship Id="rId48" Type="http://schemas.openxmlformats.org/officeDocument/2006/relationships/hyperlink" Target="http://www.christs.cam.ac.uk/boatclub/index.php/Nick_Zhang" TargetMode="External"/><Relationship Id="rId56" Type="http://schemas.openxmlformats.org/officeDocument/2006/relationships/hyperlink" Target="http://www.christs.cam.ac.uk/boatclub/index.php?title=Jonny_Bassett&amp;action=edit&amp;redlink=1" TargetMode="External"/><Relationship Id="rId8" Type="http://schemas.openxmlformats.org/officeDocument/2006/relationships/hyperlink" Target="http://www.christs.cam.ac.uk/boatclub/index.php?title=Yohan_Sanmugam&amp;action=edit&amp;redlink=1" TargetMode="External"/><Relationship Id="rId51" Type="http://schemas.openxmlformats.org/officeDocument/2006/relationships/hyperlink" Target="http://www.christs.cam.ac.uk/boatclub/index.php?title=Mike_Howe&amp;action=edit&amp;redlink=1" TargetMode="External"/><Relationship Id="rId3" Type="http://schemas.openxmlformats.org/officeDocument/2006/relationships/hyperlink" Target="http://www.christs.cam.ac.uk/boatclub/index.php/Mike_Upton" TargetMode="External"/><Relationship Id="rId12" Type="http://schemas.openxmlformats.org/officeDocument/2006/relationships/hyperlink" Target="http://www.christs.cam.ac.uk/boatclub/index.php?title=Rebecca_Hutichinson&amp;action=edit&amp;redlink=1" TargetMode="External"/><Relationship Id="rId17" Type="http://schemas.openxmlformats.org/officeDocument/2006/relationships/hyperlink" Target="http://www.christs.cam.ac.uk/boatclub/index.php?title=Rachael_Stubbins&amp;action=edit&amp;redlink=1" TargetMode="External"/><Relationship Id="rId25" Type="http://schemas.openxmlformats.org/officeDocument/2006/relationships/hyperlink" Target="http://www.christs.cam.ac.uk/boatclub/index.php?title=Qasim_Gulamhusein&amp;action=edit&amp;redlink=1" TargetMode="External"/><Relationship Id="rId33" Type="http://schemas.openxmlformats.org/officeDocument/2006/relationships/hyperlink" Target="http://www.christs.cam.ac.uk/boatclub/index.php?title=Farhana_Ahmadi&amp;action=edit&amp;redlink=1" TargetMode="External"/><Relationship Id="rId38" Type="http://schemas.openxmlformats.org/officeDocument/2006/relationships/hyperlink" Target="http://www.christs.cam.ac.uk/boatclub/index.php?title=Michael_Furman&amp;action=edit&amp;redlink=1" TargetMode="External"/><Relationship Id="rId46" Type="http://schemas.openxmlformats.org/officeDocument/2006/relationships/hyperlink" Target="http://www.christs.cam.ac.uk/boatclub/index.php/Mike_Upton" TargetMode="External"/><Relationship Id="rId59" Type="http://schemas.openxmlformats.org/officeDocument/2006/relationships/hyperlink" Target="http://www.christs.cam.ac.uk/boatclub/index.php?title=Andy_Pushakk&amp;action=edit&amp;redlink=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enableFormatConditionsCalculation="0">
    <tabColor indexed="18"/>
  </sheetPr>
  <dimension ref="A2:AG249"/>
  <sheetViews>
    <sheetView tabSelected="1" topLeftCell="R1" zoomScale="78" zoomScaleNormal="78" workbookViewId="0">
      <pane ySplit="2" topLeftCell="A3" activePane="bottomLeft" state="frozen"/>
      <selection pane="bottomLeft" activeCell="AD5" sqref="AD5"/>
    </sheetView>
  </sheetViews>
  <sheetFormatPr defaultRowHeight="12.75"/>
  <cols>
    <col min="1" max="1" width="10.140625" customWidth="1"/>
    <col min="2" max="2" width="4.7109375" bestFit="1" customWidth="1"/>
    <col min="3" max="3" width="10.7109375" bestFit="1" customWidth="1"/>
    <col min="4" max="4" width="22.140625" customWidth="1"/>
    <col min="5" max="5" width="10" bestFit="1" customWidth="1"/>
    <col min="6" max="6" width="10.7109375" bestFit="1" customWidth="1"/>
    <col min="7" max="7" width="9.7109375" bestFit="1" customWidth="1"/>
    <col min="8" max="8" width="12.7109375" bestFit="1" customWidth="1"/>
    <col min="9" max="9" width="23" bestFit="1" customWidth="1"/>
    <col min="10" max="10" width="20" bestFit="1" customWidth="1"/>
    <col min="11" max="11" width="18.5703125" bestFit="1" customWidth="1"/>
    <col min="12" max="12" width="16" bestFit="1" customWidth="1"/>
    <col min="13" max="13" width="12.5703125" bestFit="1" customWidth="1"/>
    <col min="14" max="14" width="8.140625" bestFit="1" customWidth="1"/>
    <col min="15" max="15" width="17.140625" bestFit="1" customWidth="1"/>
    <col min="16" max="16" width="18.85546875" bestFit="1" customWidth="1"/>
    <col min="17" max="17" width="16.28515625" bestFit="1" customWidth="1"/>
    <col min="18" max="18" width="9.7109375" bestFit="1" customWidth="1"/>
    <col min="19" max="19" width="23.85546875" bestFit="1" customWidth="1"/>
    <col min="20" max="20" width="21.5703125" bestFit="1" customWidth="1"/>
    <col min="21" max="21" width="14.5703125" bestFit="1" customWidth="1"/>
    <col min="22" max="22" width="10.42578125" customWidth="1"/>
    <col min="23" max="24" width="9.28515625" bestFit="1" customWidth="1"/>
    <col min="25" max="26" width="9.28515625" customWidth="1"/>
    <col min="27" max="27" width="19" bestFit="1" customWidth="1"/>
    <col min="30" max="30" width="50.7109375" bestFit="1" customWidth="1"/>
  </cols>
  <sheetData>
    <row r="2" spans="1:30">
      <c r="A2" s="58" t="s">
        <v>194</v>
      </c>
      <c r="B2" s="59" t="s">
        <v>12</v>
      </c>
      <c r="C2" s="59" t="s">
        <v>193</v>
      </c>
      <c r="D2" s="59" t="s">
        <v>191</v>
      </c>
      <c r="E2" s="59" t="s">
        <v>190</v>
      </c>
      <c r="F2" s="59" t="s">
        <v>254</v>
      </c>
      <c r="G2" s="60" t="s">
        <v>19</v>
      </c>
      <c r="H2" s="60" t="s">
        <v>195</v>
      </c>
      <c r="I2" s="61" t="s">
        <v>86</v>
      </c>
      <c r="J2" s="359" t="s">
        <v>756</v>
      </c>
      <c r="K2" s="61" t="s">
        <v>137</v>
      </c>
      <c r="L2" s="61" t="s">
        <v>140</v>
      </c>
      <c r="M2" s="62" t="s">
        <v>85</v>
      </c>
      <c r="N2" s="62" t="s">
        <v>141</v>
      </c>
      <c r="O2" s="62" t="s">
        <v>142</v>
      </c>
      <c r="P2" s="62" t="s">
        <v>143</v>
      </c>
      <c r="Q2" s="62" t="s">
        <v>144</v>
      </c>
      <c r="R2" s="62" t="s">
        <v>145</v>
      </c>
      <c r="S2" s="62" t="s">
        <v>197</v>
      </c>
      <c r="T2" s="63" t="s">
        <v>198</v>
      </c>
      <c r="U2" s="63" t="s">
        <v>147</v>
      </c>
      <c r="V2" s="63" t="s">
        <v>149</v>
      </c>
      <c r="W2" s="63" t="s">
        <v>148</v>
      </c>
      <c r="X2" s="63" t="s">
        <v>150</v>
      </c>
      <c r="Y2" s="63" t="s">
        <v>255</v>
      </c>
      <c r="Z2" s="63" t="s">
        <v>564</v>
      </c>
      <c r="AA2" s="63" t="s">
        <v>175</v>
      </c>
      <c r="AB2" s="66"/>
      <c r="AC2" s="64" t="s">
        <v>163</v>
      </c>
      <c r="AD2" s="65" t="s">
        <v>158</v>
      </c>
    </row>
    <row r="3" spans="1:30">
      <c r="A3" s="67"/>
      <c r="B3" s="322" t="s">
        <v>232</v>
      </c>
      <c r="C3" s="92">
        <v>40057</v>
      </c>
      <c r="D3" s="322" t="s">
        <v>153</v>
      </c>
      <c r="E3" s="68"/>
      <c r="F3" s="68"/>
      <c r="G3" s="69">
        <v>342.56</v>
      </c>
      <c r="H3" s="69">
        <v>342.55999999999597</v>
      </c>
      <c r="I3" s="70"/>
      <c r="J3" s="70"/>
      <c r="K3" s="70"/>
      <c r="L3" s="70"/>
      <c r="M3" s="70"/>
      <c r="N3" s="70"/>
      <c r="O3" s="70"/>
      <c r="P3" s="70"/>
      <c r="Q3" s="70"/>
      <c r="R3" s="70"/>
      <c r="S3" s="70"/>
      <c r="T3" s="70"/>
      <c r="U3" s="70"/>
      <c r="V3" s="70"/>
      <c r="W3" s="70"/>
      <c r="X3" s="70"/>
      <c r="Y3" s="70"/>
      <c r="Z3" s="70"/>
      <c r="AA3" s="70"/>
      <c r="AB3" s="71"/>
      <c r="AC3" s="323" t="s">
        <v>647</v>
      </c>
      <c r="AD3" s="324" t="s">
        <v>153</v>
      </c>
    </row>
    <row r="4" spans="1:30">
      <c r="A4" s="323" t="s">
        <v>755</v>
      </c>
      <c r="B4" s="322" t="s">
        <v>232</v>
      </c>
      <c r="C4" s="92">
        <v>40082</v>
      </c>
      <c r="D4" s="322" t="s">
        <v>648</v>
      </c>
      <c r="E4" s="68"/>
      <c r="F4" s="68">
        <v>100411</v>
      </c>
      <c r="G4" s="69">
        <v>-73.25</v>
      </c>
      <c r="H4" s="69">
        <f t="shared" ref="H4:H68" si="0">H3+IF(B4="Yes",G4,0)</f>
        <v>269.30999999999597</v>
      </c>
      <c r="I4" s="70"/>
      <c r="J4" s="70"/>
      <c r="K4" s="70"/>
      <c r="L4" s="70"/>
      <c r="M4" s="70"/>
      <c r="N4" s="70"/>
      <c r="O4" s="70"/>
      <c r="P4" s="70">
        <v>-73.25</v>
      </c>
      <c r="Q4" s="70"/>
      <c r="R4" s="70"/>
      <c r="S4" s="70"/>
      <c r="T4" s="70"/>
      <c r="U4" s="70"/>
      <c r="V4" s="70"/>
      <c r="W4" s="70"/>
      <c r="X4" s="70"/>
      <c r="Y4" s="70"/>
      <c r="Z4" s="70"/>
      <c r="AA4" s="70"/>
      <c r="AB4" s="71"/>
      <c r="AC4" s="323" t="str">
        <f t="shared" ref="AC4:AC75" si="1">IF(SUM(I4:AA4)=G4,"Ok","Error")</f>
        <v>Ok</v>
      </c>
      <c r="AD4" s="72" t="s">
        <v>650</v>
      </c>
    </row>
    <row r="5" spans="1:30">
      <c r="A5" s="67"/>
      <c r="B5" s="322" t="s">
        <v>232</v>
      </c>
      <c r="C5" s="92">
        <v>40094</v>
      </c>
      <c r="D5" s="68" t="s">
        <v>649</v>
      </c>
      <c r="E5" s="68"/>
      <c r="F5" s="68">
        <v>100415</v>
      </c>
      <c r="G5" s="69">
        <v>-187</v>
      </c>
      <c r="H5" s="69">
        <f t="shared" si="0"/>
        <v>82.309999999995966</v>
      </c>
      <c r="I5" s="70"/>
      <c r="J5" s="70"/>
      <c r="K5" s="70"/>
      <c r="L5" s="70"/>
      <c r="M5" s="70"/>
      <c r="N5" s="70"/>
      <c r="O5" s="70"/>
      <c r="P5" s="70">
        <v>-187</v>
      </c>
      <c r="Q5" s="70"/>
      <c r="R5" s="70"/>
      <c r="S5" s="70"/>
      <c r="T5" s="70"/>
      <c r="U5" s="70"/>
      <c r="V5" s="70"/>
      <c r="W5" s="70"/>
      <c r="X5" s="70"/>
      <c r="Y5" s="70"/>
      <c r="Z5" s="70"/>
      <c r="AA5" s="70"/>
      <c r="AB5" s="71"/>
      <c r="AC5" s="323" t="str">
        <f t="shared" si="1"/>
        <v>Ok</v>
      </c>
      <c r="AD5" s="72" t="s">
        <v>651</v>
      </c>
    </row>
    <row r="6" spans="1:30">
      <c r="A6" s="67"/>
      <c r="B6" s="68" t="s">
        <v>232</v>
      </c>
      <c r="C6" s="92">
        <v>40094</v>
      </c>
      <c r="D6" s="68" t="s">
        <v>652</v>
      </c>
      <c r="E6" s="68"/>
      <c r="F6" s="68">
        <v>100414</v>
      </c>
      <c r="G6" s="69">
        <v>-277.14999999999998</v>
      </c>
      <c r="H6" s="69">
        <f t="shared" si="0"/>
        <v>-194.84000000000401</v>
      </c>
      <c r="I6" s="70"/>
      <c r="J6" s="70"/>
      <c r="K6" s="70"/>
      <c r="L6" s="70"/>
      <c r="M6" s="70"/>
      <c r="N6" s="70"/>
      <c r="O6" s="70"/>
      <c r="P6" s="70">
        <v>-277.14999999999998</v>
      </c>
      <c r="Q6" s="70"/>
      <c r="R6" s="70"/>
      <c r="S6" s="70"/>
      <c r="T6" s="70"/>
      <c r="U6" s="70"/>
      <c r="V6" s="70"/>
      <c r="W6" s="70"/>
      <c r="X6" s="70"/>
      <c r="Y6" s="70"/>
      <c r="Z6" s="70"/>
      <c r="AA6" s="70"/>
      <c r="AB6" s="71"/>
      <c r="AC6" s="323" t="str">
        <f t="shared" si="1"/>
        <v>Ok</v>
      </c>
      <c r="AD6" s="72" t="s">
        <v>653</v>
      </c>
    </row>
    <row r="7" spans="1:30">
      <c r="A7" s="67"/>
      <c r="B7" s="68" t="s">
        <v>232</v>
      </c>
      <c r="C7" s="92">
        <v>40094</v>
      </c>
      <c r="D7" s="68" t="s">
        <v>654</v>
      </c>
      <c r="E7" s="68"/>
      <c r="F7" s="68">
        <v>100412</v>
      </c>
      <c r="G7" s="69">
        <v>-50.6</v>
      </c>
      <c r="H7" s="69">
        <f t="shared" si="0"/>
        <v>-245.44000000000401</v>
      </c>
      <c r="I7" s="70"/>
      <c r="J7" s="70"/>
      <c r="K7" s="70"/>
      <c r="L7" s="70"/>
      <c r="M7" s="70"/>
      <c r="N7" s="70"/>
      <c r="O7" s="70"/>
      <c r="P7" s="70">
        <v>-50.6</v>
      </c>
      <c r="Q7" s="70"/>
      <c r="R7" s="70"/>
      <c r="S7" s="70"/>
      <c r="T7" s="70"/>
      <c r="U7" s="70"/>
      <c r="V7" s="70"/>
      <c r="W7" s="70"/>
      <c r="X7" s="70"/>
      <c r="Y7" s="70"/>
      <c r="Z7" s="70"/>
      <c r="AA7" s="70"/>
      <c r="AB7" s="71"/>
      <c r="AC7" s="323" t="str">
        <f t="shared" si="1"/>
        <v>Ok</v>
      </c>
      <c r="AD7" s="72" t="s">
        <v>655</v>
      </c>
    </row>
    <row r="8" spans="1:30">
      <c r="A8" s="323" t="s">
        <v>755</v>
      </c>
      <c r="B8" s="68" t="s">
        <v>232</v>
      </c>
      <c r="C8" s="92" t="s">
        <v>656</v>
      </c>
      <c r="D8" s="68" t="s">
        <v>657</v>
      </c>
      <c r="E8" s="68"/>
      <c r="F8" s="68">
        <v>100410</v>
      </c>
      <c r="G8" s="69">
        <v>-25.75</v>
      </c>
      <c r="H8" s="69">
        <f t="shared" si="0"/>
        <v>-271.19000000000403</v>
      </c>
      <c r="I8" s="70"/>
      <c r="J8" s="70"/>
      <c r="K8" s="70"/>
      <c r="L8" s="70"/>
      <c r="M8" s="70"/>
      <c r="N8" s="70"/>
      <c r="O8" s="70"/>
      <c r="P8" s="70">
        <v>-25.75</v>
      </c>
      <c r="Q8" s="70"/>
      <c r="R8" s="70"/>
      <c r="S8" s="70"/>
      <c r="T8" s="70"/>
      <c r="U8" s="70"/>
      <c r="V8" s="70"/>
      <c r="W8" s="70"/>
      <c r="X8" s="70"/>
      <c r="Y8" s="70"/>
      <c r="Z8" s="70"/>
      <c r="AA8" s="70"/>
      <c r="AB8" s="71"/>
      <c r="AC8" s="323" t="str">
        <f t="shared" si="1"/>
        <v>Ok</v>
      </c>
      <c r="AD8" s="72" t="s">
        <v>658</v>
      </c>
    </row>
    <row r="9" spans="1:30">
      <c r="A9" s="67"/>
      <c r="B9" s="68" t="s">
        <v>232</v>
      </c>
      <c r="C9" s="92">
        <v>40094</v>
      </c>
      <c r="D9" s="68" t="s">
        <v>68</v>
      </c>
      <c r="E9" s="68"/>
      <c r="F9" s="68">
        <v>100417</v>
      </c>
      <c r="G9" s="69">
        <v>-10.43</v>
      </c>
      <c r="H9" s="69">
        <f t="shared" si="0"/>
        <v>-281.62000000000404</v>
      </c>
      <c r="I9" s="70"/>
      <c r="J9" s="70"/>
      <c r="K9" s="70"/>
      <c r="L9" s="70"/>
      <c r="M9" s="70"/>
      <c r="N9" s="70"/>
      <c r="O9" s="70"/>
      <c r="P9" s="70"/>
      <c r="Q9" s="70"/>
      <c r="R9" s="70"/>
      <c r="S9" s="70"/>
      <c r="T9" s="70"/>
      <c r="U9" s="70"/>
      <c r="V9" s="70"/>
      <c r="W9" s="70"/>
      <c r="X9" s="70"/>
      <c r="Y9" s="70"/>
      <c r="Z9" s="70"/>
      <c r="AA9" s="70">
        <v>-10.43</v>
      </c>
      <c r="AB9" s="71"/>
      <c r="AC9" s="323" t="str">
        <f t="shared" si="1"/>
        <v>Ok</v>
      </c>
      <c r="AD9" s="72" t="s">
        <v>659</v>
      </c>
    </row>
    <row r="10" spans="1:30">
      <c r="A10" s="323" t="s">
        <v>755</v>
      </c>
      <c r="B10" s="68" t="s">
        <v>29</v>
      </c>
      <c r="C10" s="92">
        <v>40094</v>
      </c>
      <c r="D10" s="322" t="s">
        <v>275</v>
      </c>
      <c r="E10" s="68"/>
      <c r="F10" s="68">
        <v>100416</v>
      </c>
      <c r="G10" s="69">
        <v>-74.97</v>
      </c>
      <c r="H10" s="69">
        <f t="shared" si="0"/>
        <v>-356.59000000000401</v>
      </c>
      <c r="I10" s="70"/>
      <c r="J10" s="70"/>
      <c r="K10" s="70"/>
      <c r="L10" s="70"/>
      <c r="M10" s="70"/>
      <c r="N10" s="70"/>
      <c r="O10" s="70"/>
      <c r="P10" s="70"/>
      <c r="Q10" s="70"/>
      <c r="R10" s="70"/>
      <c r="S10" s="70"/>
      <c r="T10" s="70"/>
      <c r="U10" s="70"/>
      <c r="V10" s="70"/>
      <c r="W10" s="70"/>
      <c r="X10" s="70"/>
      <c r="Y10" s="70"/>
      <c r="Z10" s="70"/>
      <c r="AA10" s="70">
        <v>-74.97</v>
      </c>
      <c r="AB10" s="71"/>
      <c r="AC10" s="323" t="str">
        <f t="shared" si="1"/>
        <v>Ok</v>
      </c>
      <c r="AD10" s="324" t="s">
        <v>660</v>
      </c>
    </row>
    <row r="11" spans="1:30">
      <c r="A11" s="67"/>
      <c r="B11" s="322" t="s">
        <v>232</v>
      </c>
      <c r="C11" s="92">
        <v>40094</v>
      </c>
      <c r="D11" s="322" t="s">
        <v>661</v>
      </c>
      <c r="E11" s="68"/>
      <c r="F11" s="68"/>
      <c r="G11" s="69">
        <v>100</v>
      </c>
      <c r="H11" s="69">
        <f t="shared" si="0"/>
        <v>-256.59000000000401</v>
      </c>
      <c r="I11" s="70"/>
      <c r="J11" s="70">
        <v>100</v>
      </c>
      <c r="K11" s="70"/>
      <c r="L11" s="70"/>
      <c r="M11" s="70"/>
      <c r="N11" s="70"/>
      <c r="O11" s="70"/>
      <c r="P11" s="70"/>
      <c r="Q11" s="70"/>
      <c r="R11" s="70"/>
      <c r="S11" s="70"/>
      <c r="T11" s="70"/>
      <c r="U11" s="70"/>
      <c r="V11" s="70"/>
      <c r="W11" s="70"/>
      <c r="X11" s="70"/>
      <c r="Y11" s="70"/>
      <c r="Z11" s="70"/>
      <c r="AA11" s="70"/>
      <c r="AB11" s="71"/>
      <c r="AC11" s="323" t="str">
        <f t="shared" si="1"/>
        <v>Ok</v>
      </c>
      <c r="AD11" s="324" t="s">
        <v>662</v>
      </c>
    </row>
    <row r="12" spans="1:30">
      <c r="A12" s="67"/>
      <c r="B12" s="322" t="s">
        <v>663</v>
      </c>
      <c r="C12" s="92">
        <v>40094</v>
      </c>
      <c r="D12" s="322" t="s">
        <v>664</v>
      </c>
      <c r="E12" s="68"/>
      <c r="F12" s="68">
        <v>100419</v>
      </c>
      <c r="G12" s="69">
        <v>-39</v>
      </c>
      <c r="H12" s="69">
        <f t="shared" si="0"/>
        <v>-256.59000000000401</v>
      </c>
      <c r="I12" s="70"/>
      <c r="J12" s="70"/>
      <c r="K12" s="70"/>
      <c r="L12" s="70"/>
      <c r="M12" s="70"/>
      <c r="N12" s="70"/>
      <c r="O12" s="70"/>
      <c r="P12" s="325">
        <v>-39</v>
      </c>
      <c r="Q12" s="70"/>
      <c r="R12" s="70"/>
      <c r="S12" s="70"/>
      <c r="T12" s="70"/>
      <c r="U12" s="70"/>
      <c r="V12" s="70"/>
      <c r="W12" s="70"/>
      <c r="X12" s="70"/>
      <c r="Y12" s="70"/>
      <c r="Z12" s="70"/>
      <c r="AA12" s="70"/>
      <c r="AB12" s="71"/>
      <c r="AC12" s="323" t="str">
        <f t="shared" si="1"/>
        <v>Ok</v>
      </c>
      <c r="AD12" s="324" t="s">
        <v>665</v>
      </c>
    </row>
    <row r="13" spans="1:30">
      <c r="A13" s="67"/>
      <c r="B13" s="68" t="s">
        <v>232</v>
      </c>
      <c r="C13" s="92">
        <v>40105</v>
      </c>
      <c r="D13" s="68" t="s">
        <v>666</v>
      </c>
      <c r="E13" s="68"/>
      <c r="F13" s="68">
        <v>100420</v>
      </c>
      <c r="G13" s="69">
        <v>-125</v>
      </c>
      <c r="H13" s="69">
        <f t="shared" si="0"/>
        <v>-381.59000000000401</v>
      </c>
      <c r="I13" s="70"/>
      <c r="J13" s="70"/>
      <c r="K13" s="70"/>
      <c r="L13" s="70"/>
      <c r="M13" s="70"/>
      <c r="N13" s="70"/>
      <c r="O13" s="70"/>
      <c r="P13" s="70"/>
      <c r="Q13" s="70"/>
      <c r="R13" s="70"/>
      <c r="S13" s="70"/>
      <c r="T13" s="70">
        <v>-125</v>
      </c>
      <c r="U13" s="70"/>
      <c r="V13" s="70"/>
      <c r="W13" s="70"/>
      <c r="X13" s="70"/>
      <c r="Y13" s="70"/>
      <c r="Z13" s="70"/>
      <c r="AA13" s="70"/>
      <c r="AB13" s="71"/>
      <c r="AC13" s="323" t="str">
        <f t="shared" si="1"/>
        <v>Ok</v>
      </c>
      <c r="AD13" s="72" t="s">
        <v>483</v>
      </c>
    </row>
    <row r="14" spans="1:30">
      <c r="A14" s="67"/>
      <c r="B14" s="68" t="s">
        <v>29</v>
      </c>
      <c r="C14" s="92">
        <v>40105</v>
      </c>
      <c r="D14" s="68" t="s">
        <v>667</v>
      </c>
      <c r="E14" s="68"/>
      <c r="F14" s="68">
        <v>100421</v>
      </c>
      <c r="G14" s="69">
        <v>-144</v>
      </c>
      <c r="H14" s="69">
        <f t="shared" si="0"/>
        <v>-525.59000000000401</v>
      </c>
      <c r="I14" s="70"/>
      <c r="J14" s="70"/>
      <c r="K14" s="70"/>
      <c r="L14" s="70"/>
      <c r="M14" s="70"/>
      <c r="N14" s="70"/>
      <c r="O14" s="70">
        <v>-144</v>
      </c>
      <c r="P14" s="70"/>
      <c r="Q14" s="70"/>
      <c r="R14" s="70"/>
      <c r="S14" s="70"/>
      <c r="T14" s="70"/>
      <c r="U14" s="70"/>
      <c r="V14" s="70"/>
      <c r="W14" s="70"/>
      <c r="X14" s="70"/>
      <c r="Y14" s="70"/>
      <c r="Z14" s="70"/>
      <c r="AA14" s="70"/>
      <c r="AB14" s="71"/>
      <c r="AC14" s="323" t="str">
        <f t="shared" si="1"/>
        <v>Ok</v>
      </c>
      <c r="AD14" s="72"/>
    </row>
    <row r="15" spans="1:30">
      <c r="A15" s="67"/>
      <c r="B15" s="68" t="s">
        <v>232</v>
      </c>
      <c r="C15" s="92">
        <v>40095</v>
      </c>
      <c r="D15" s="68" t="s">
        <v>661</v>
      </c>
      <c r="E15" s="68"/>
      <c r="F15" s="68"/>
      <c r="G15" s="69">
        <v>900</v>
      </c>
      <c r="H15" s="69">
        <f t="shared" si="0"/>
        <v>374.40999999999599</v>
      </c>
      <c r="I15" s="70"/>
      <c r="J15" s="70">
        <v>900</v>
      </c>
      <c r="K15" s="70"/>
      <c r="L15" s="70"/>
      <c r="M15" s="70"/>
      <c r="N15" s="70"/>
      <c r="O15" s="70"/>
      <c r="P15" s="70"/>
      <c r="Q15" s="70"/>
      <c r="R15" s="70"/>
      <c r="S15" s="70"/>
      <c r="T15" s="70"/>
      <c r="U15" s="70"/>
      <c r="V15" s="70"/>
      <c r="W15" s="70"/>
      <c r="X15" s="70"/>
      <c r="Y15" s="70"/>
      <c r="Z15" s="70"/>
      <c r="AA15" s="70"/>
      <c r="AB15" s="71"/>
      <c r="AC15" s="323" t="str">
        <f t="shared" si="1"/>
        <v>Ok</v>
      </c>
      <c r="AD15" s="72"/>
    </row>
    <row r="16" spans="1:30">
      <c r="A16" s="67"/>
      <c r="B16" s="68" t="s">
        <v>232</v>
      </c>
      <c r="C16" s="92">
        <v>40105</v>
      </c>
      <c r="D16" s="68" t="s">
        <v>668</v>
      </c>
      <c r="E16" s="68"/>
      <c r="F16" s="68">
        <v>100422</v>
      </c>
      <c r="G16" s="69">
        <v>-30</v>
      </c>
      <c r="H16" s="69">
        <f t="shared" si="0"/>
        <v>344.40999999999599</v>
      </c>
      <c r="I16" s="70"/>
      <c r="J16" s="70"/>
      <c r="K16" s="70"/>
      <c r="L16" s="70"/>
      <c r="M16" s="70"/>
      <c r="N16" s="70"/>
      <c r="O16" s="70"/>
      <c r="P16" s="70"/>
      <c r="Q16" s="70"/>
      <c r="R16" s="70"/>
      <c r="S16" s="70"/>
      <c r="T16" s="70">
        <v>-30</v>
      </c>
      <c r="U16" s="70"/>
      <c r="V16" s="70"/>
      <c r="W16" s="70"/>
      <c r="X16" s="70"/>
      <c r="Y16" s="70"/>
      <c r="Z16" s="70"/>
      <c r="AA16" s="70"/>
      <c r="AB16" s="71"/>
      <c r="AC16" s="323" t="str">
        <f t="shared" si="1"/>
        <v>Ok</v>
      </c>
      <c r="AD16" s="72"/>
    </row>
    <row r="17" spans="1:30">
      <c r="A17" s="67"/>
      <c r="B17" s="68" t="s">
        <v>232</v>
      </c>
      <c r="C17" s="92">
        <v>40105</v>
      </c>
      <c r="D17" s="68" t="s">
        <v>669</v>
      </c>
      <c r="E17" s="68"/>
      <c r="F17" s="68">
        <v>100423</v>
      </c>
      <c r="G17" s="69">
        <v>-25</v>
      </c>
      <c r="H17" s="69">
        <f t="shared" si="0"/>
        <v>319.40999999999599</v>
      </c>
      <c r="I17" s="70"/>
      <c r="J17" s="70"/>
      <c r="K17" s="70"/>
      <c r="L17" s="70"/>
      <c r="M17" s="70"/>
      <c r="N17" s="70"/>
      <c r="O17" s="70">
        <v>-25</v>
      </c>
      <c r="P17" s="70"/>
      <c r="Q17" s="70"/>
      <c r="R17" s="70"/>
      <c r="S17" s="70"/>
      <c r="T17" s="70"/>
      <c r="U17" s="70"/>
      <c r="V17" s="70"/>
      <c r="W17" s="70"/>
      <c r="X17" s="70"/>
      <c r="Y17" s="70"/>
      <c r="Z17" s="70"/>
      <c r="AA17" s="70"/>
      <c r="AB17" s="71"/>
      <c r="AC17" s="323" t="str">
        <f t="shared" si="1"/>
        <v>Ok</v>
      </c>
      <c r="AD17" s="72"/>
    </row>
    <row r="18" spans="1:30">
      <c r="A18" s="67"/>
      <c r="B18" s="68" t="s">
        <v>232</v>
      </c>
      <c r="C18" s="92">
        <v>40105</v>
      </c>
      <c r="D18" s="68" t="s">
        <v>670</v>
      </c>
      <c r="E18" s="68"/>
      <c r="F18" s="68">
        <v>100425</v>
      </c>
      <c r="G18" s="69">
        <v>-75</v>
      </c>
      <c r="H18" s="69">
        <f t="shared" si="0"/>
        <v>244.40999999999599</v>
      </c>
      <c r="I18" s="70"/>
      <c r="J18" s="70"/>
      <c r="K18" s="70"/>
      <c r="L18" s="70"/>
      <c r="M18" s="70"/>
      <c r="N18" s="70"/>
      <c r="O18" s="70">
        <v>-75</v>
      </c>
      <c r="P18" s="70"/>
      <c r="Q18" s="70"/>
      <c r="R18" s="70"/>
      <c r="S18" s="70"/>
      <c r="T18" s="70"/>
      <c r="U18" s="70"/>
      <c r="V18" s="70"/>
      <c r="W18" s="70"/>
      <c r="X18" s="70"/>
      <c r="Y18" s="70"/>
      <c r="Z18" s="70"/>
      <c r="AA18" s="70"/>
      <c r="AB18" s="71"/>
      <c r="AC18" s="323" t="str">
        <f t="shared" si="1"/>
        <v>Ok</v>
      </c>
      <c r="AD18" s="72"/>
    </row>
    <row r="19" spans="1:30">
      <c r="A19" s="67"/>
      <c r="B19" s="68" t="s">
        <v>29</v>
      </c>
      <c r="C19" s="92">
        <v>40142</v>
      </c>
      <c r="D19" s="68" t="s">
        <v>671</v>
      </c>
      <c r="E19" s="68"/>
      <c r="F19" s="68">
        <v>100437</v>
      </c>
      <c r="G19" s="69">
        <v>-37</v>
      </c>
      <c r="H19" s="69">
        <f t="shared" si="0"/>
        <v>207.40999999999599</v>
      </c>
      <c r="I19" s="70"/>
      <c r="J19" s="70"/>
      <c r="K19" s="70"/>
      <c r="L19" s="70"/>
      <c r="M19" s="70"/>
      <c r="N19" s="70"/>
      <c r="O19" s="70">
        <v>-37</v>
      </c>
      <c r="P19" s="70"/>
      <c r="Q19" s="70"/>
      <c r="R19" s="70"/>
      <c r="S19" s="70"/>
      <c r="T19" s="70"/>
      <c r="U19" s="70"/>
      <c r="V19" s="70"/>
      <c r="W19" s="70"/>
      <c r="X19" s="70"/>
      <c r="Y19" s="70"/>
      <c r="Z19" s="70"/>
      <c r="AA19" s="70"/>
      <c r="AB19" s="71"/>
      <c r="AC19" s="323" t="str">
        <f t="shared" si="1"/>
        <v>Ok</v>
      </c>
      <c r="AD19" s="72"/>
    </row>
    <row r="20" spans="1:30">
      <c r="A20" s="67"/>
      <c r="B20" s="68" t="s">
        <v>29</v>
      </c>
      <c r="C20" s="92">
        <v>40143</v>
      </c>
      <c r="D20" s="68" t="s">
        <v>672</v>
      </c>
      <c r="E20" s="68"/>
      <c r="F20" s="68">
        <v>100438</v>
      </c>
      <c r="G20" s="69">
        <v>-50</v>
      </c>
      <c r="H20" s="69">
        <f t="shared" si="0"/>
        <v>157.40999999999599</v>
      </c>
      <c r="I20" s="70"/>
      <c r="J20" s="70"/>
      <c r="K20" s="70"/>
      <c r="L20" s="70"/>
      <c r="M20" s="70"/>
      <c r="N20" s="70"/>
      <c r="O20" s="70"/>
      <c r="P20" s="70"/>
      <c r="Q20" s="70"/>
      <c r="R20" s="70"/>
      <c r="S20" s="70"/>
      <c r="T20" s="70">
        <v>-50</v>
      </c>
      <c r="U20" s="70"/>
      <c r="V20" s="70"/>
      <c r="W20" s="70"/>
      <c r="X20" s="70"/>
      <c r="Y20" s="70"/>
      <c r="Z20" s="70"/>
      <c r="AA20" s="70"/>
      <c r="AB20" s="71"/>
      <c r="AC20" s="323" t="str">
        <f t="shared" si="1"/>
        <v>Ok</v>
      </c>
      <c r="AD20" s="72"/>
    </row>
    <row r="21" spans="1:30">
      <c r="A21" s="67"/>
      <c r="B21" s="68" t="s">
        <v>29</v>
      </c>
      <c r="C21" s="92">
        <v>40145</v>
      </c>
      <c r="D21" s="68" t="s">
        <v>673</v>
      </c>
      <c r="E21" s="68"/>
      <c r="F21" s="68">
        <v>100439</v>
      </c>
      <c r="G21" s="69">
        <v>-54</v>
      </c>
      <c r="H21" s="69">
        <f t="shared" si="0"/>
        <v>103.40999999999599</v>
      </c>
      <c r="I21" s="70"/>
      <c r="J21" s="70"/>
      <c r="K21" s="70"/>
      <c r="L21" s="70"/>
      <c r="M21" s="70"/>
      <c r="N21" s="70">
        <v>-54</v>
      </c>
      <c r="O21" s="70"/>
      <c r="P21" s="70"/>
      <c r="Q21" s="70"/>
      <c r="R21" s="70"/>
      <c r="S21" s="70"/>
      <c r="T21" s="70"/>
      <c r="U21" s="70"/>
      <c r="V21" s="70"/>
      <c r="W21" s="70"/>
      <c r="X21" s="70"/>
      <c r="Y21" s="70"/>
      <c r="Z21" s="70"/>
      <c r="AA21" s="70"/>
      <c r="AB21" s="71"/>
      <c r="AC21" s="323" t="str">
        <f t="shared" si="1"/>
        <v>Ok</v>
      </c>
      <c r="AD21" s="72"/>
    </row>
    <row r="22" spans="1:30">
      <c r="A22" s="67"/>
      <c r="B22" s="68" t="s">
        <v>29</v>
      </c>
      <c r="C22" s="92">
        <v>40145</v>
      </c>
      <c r="D22" s="68" t="s">
        <v>674</v>
      </c>
      <c r="E22" s="68"/>
      <c r="F22" s="68">
        <v>100440</v>
      </c>
      <c r="G22" s="69">
        <v>-165</v>
      </c>
      <c r="H22" s="69">
        <f t="shared" si="0"/>
        <v>-61.590000000004011</v>
      </c>
      <c r="I22" s="70"/>
      <c r="J22" s="70"/>
      <c r="K22" s="70"/>
      <c r="L22" s="70"/>
      <c r="M22" s="70"/>
      <c r="N22" s="70"/>
      <c r="O22" s="70"/>
      <c r="P22" s="70">
        <v>-165</v>
      </c>
      <c r="Q22" s="70"/>
      <c r="R22" s="70"/>
      <c r="S22" s="70"/>
      <c r="T22" s="70"/>
      <c r="U22" s="70"/>
      <c r="V22" s="70"/>
      <c r="W22" s="70"/>
      <c r="X22" s="70"/>
      <c r="Y22" s="70"/>
      <c r="Z22" s="70"/>
      <c r="AA22" s="70"/>
      <c r="AB22" s="71"/>
      <c r="AC22" s="323" t="str">
        <f t="shared" si="1"/>
        <v>Ok</v>
      </c>
      <c r="AD22" s="72"/>
    </row>
    <row r="23" spans="1:30">
      <c r="A23" s="67"/>
      <c r="B23" s="68" t="s">
        <v>29</v>
      </c>
      <c r="C23" s="92">
        <v>40145</v>
      </c>
      <c r="D23" s="68" t="s">
        <v>675</v>
      </c>
      <c r="E23" s="68"/>
      <c r="F23" s="68">
        <v>100441</v>
      </c>
      <c r="G23" s="69">
        <v>-28</v>
      </c>
      <c r="H23" s="69">
        <f t="shared" si="0"/>
        <v>-89.590000000004011</v>
      </c>
      <c r="I23" s="70"/>
      <c r="J23" s="70"/>
      <c r="K23" s="70"/>
      <c r="L23" s="70"/>
      <c r="M23" s="70"/>
      <c r="N23" s="70"/>
      <c r="O23" s="70"/>
      <c r="P23" s="70"/>
      <c r="Q23" s="70"/>
      <c r="R23" s="70"/>
      <c r="S23" s="70"/>
      <c r="T23" s="70"/>
      <c r="U23" s="70"/>
      <c r="V23" s="70"/>
      <c r="W23" s="70">
        <v>-28</v>
      </c>
      <c r="X23" s="70"/>
      <c r="Y23" s="70"/>
      <c r="Z23" s="70"/>
      <c r="AA23" s="70"/>
      <c r="AB23" s="71"/>
      <c r="AC23" s="323" t="str">
        <f t="shared" si="1"/>
        <v>Ok</v>
      </c>
      <c r="AD23" s="72"/>
    </row>
    <row r="24" spans="1:30">
      <c r="A24" s="67"/>
      <c r="B24" s="68" t="s">
        <v>29</v>
      </c>
      <c r="C24" s="92">
        <v>40147</v>
      </c>
      <c r="D24" s="68" t="s">
        <v>676</v>
      </c>
      <c r="E24" s="68"/>
      <c r="F24" s="68">
        <v>100442</v>
      </c>
      <c r="G24" s="69">
        <v>-300</v>
      </c>
      <c r="H24" s="69">
        <f t="shared" si="0"/>
        <v>-389.59000000000401</v>
      </c>
      <c r="I24" s="70"/>
      <c r="J24" s="70"/>
      <c r="K24" s="70"/>
      <c r="L24" s="70"/>
      <c r="M24" s="70"/>
      <c r="N24" s="70"/>
      <c r="O24" s="70"/>
      <c r="P24" s="70"/>
      <c r="Q24" s="70"/>
      <c r="R24" s="70"/>
      <c r="S24" s="70"/>
      <c r="T24" s="70">
        <v>-300</v>
      </c>
      <c r="U24" s="70"/>
      <c r="V24" s="70"/>
      <c r="W24" s="70"/>
      <c r="X24" s="70"/>
      <c r="Y24" s="70"/>
      <c r="Z24" s="70"/>
      <c r="AA24" s="70"/>
      <c r="AB24" s="71"/>
      <c r="AC24" s="323" t="str">
        <f t="shared" si="1"/>
        <v>Ok</v>
      </c>
      <c r="AD24" s="72"/>
    </row>
    <row r="25" spans="1:30">
      <c r="A25" s="67"/>
      <c r="B25" s="68" t="s">
        <v>29</v>
      </c>
      <c r="C25" s="92" t="s">
        <v>677</v>
      </c>
      <c r="D25" s="68" t="s">
        <v>668</v>
      </c>
      <c r="E25" s="68"/>
      <c r="F25" s="68">
        <v>100443</v>
      </c>
      <c r="G25" s="69">
        <v>-120</v>
      </c>
      <c r="H25" s="69">
        <f t="shared" si="0"/>
        <v>-509.59000000000401</v>
      </c>
      <c r="I25" s="70"/>
      <c r="J25" s="70"/>
      <c r="K25" s="70"/>
      <c r="L25" s="70"/>
      <c r="M25" s="70"/>
      <c r="N25" s="70"/>
      <c r="O25" s="70"/>
      <c r="P25" s="70"/>
      <c r="Q25" s="70"/>
      <c r="R25" s="70"/>
      <c r="S25" s="70"/>
      <c r="T25" s="70">
        <v>-120</v>
      </c>
      <c r="U25" s="70"/>
      <c r="V25" s="70"/>
      <c r="W25" s="70"/>
      <c r="X25" s="70"/>
      <c r="Y25" s="70"/>
      <c r="Z25" s="70"/>
      <c r="AA25" s="70"/>
      <c r="AB25" s="71"/>
      <c r="AC25" s="323" t="str">
        <f t="shared" si="1"/>
        <v>Ok</v>
      </c>
      <c r="AD25" s="72" t="s">
        <v>678</v>
      </c>
    </row>
    <row r="26" spans="1:30">
      <c r="A26" s="67"/>
      <c r="B26" s="68" t="s">
        <v>29</v>
      </c>
      <c r="C26" s="92">
        <v>40151</v>
      </c>
      <c r="D26" s="68" t="s">
        <v>679</v>
      </c>
      <c r="E26" s="68"/>
      <c r="F26" s="68">
        <v>100444</v>
      </c>
      <c r="G26" s="69">
        <v>-120</v>
      </c>
      <c r="H26" s="69">
        <f t="shared" si="0"/>
        <v>-629.59000000000401</v>
      </c>
      <c r="I26" s="70"/>
      <c r="J26" s="70"/>
      <c r="K26" s="70"/>
      <c r="L26" s="70"/>
      <c r="M26" s="70"/>
      <c r="N26" s="70"/>
      <c r="O26" s="70"/>
      <c r="P26" s="70">
        <v>-40</v>
      </c>
      <c r="Q26" s="70"/>
      <c r="R26" s="70"/>
      <c r="S26" s="70"/>
      <c r="T26" s="70">
        <v>-80</v>
      </c>
      <c r="U26" s="70"/>
      <c r="V26" s="70"/>
      <c r="W26" s="70"/>
      <c r="X26" s="70"/>
      <c r="Y26" s="70"/>
      <c r="Z26" s="70"/>
      <c r="AA26" s="70"/>
      <c r="AB26" s="71"/>
      <c r="AC26" s="323" t="str">
        <f t="shared" si="1"/>
        <v>Ok</v>
      </c>
      <c r="AD26" s="72"/>
    </row>
    <row r="27" spans="1:30">
      <c r="A27" s="67"/>
      <c r="B27" s="68" t="s">
        <v>29</v>
      </c>
      <c r="C27" s="92">
        <v>40152</v>
      </c>
      <c r="D27" s="68" t="s">
        <v>680</v>
      </c>
      <c r="E27" s="68"/>
      <c r="F27" s="68">
        <v>100446</v>
      </c>
      <c r="G27" s="69">
        <v>-160.4</v>
      </c>
      <c r="H27" s="69">
        <f t="shared" si="0"/>
        <v>-789.99000000000399</v>
      </c>
      <c r="I27" s="70"/>
      <c r="J27" s="70"/>
      <c r="K27" s="70">
        <v>-160.4</v>
      </c>
      <c r="L27" s="70"/>
      <c r="M27" s="70"/>
      <c r="N27" s="70"/>
      <c r="O27" s="70"/>
      <c r="P27" s="70"/>
      <c r="Q27" s="70"/>
      <c r="R27" s="70"/>
      <c r="S27" s="70"/>
      <c r="T27" s="70"/>
      <c r="U27" s="70"/>
      <c r="V27" s="70"/>
      <c r="W27" s="70"/>
      <c r="X27" s="70"/>
      <c r="Y27" s="70"/>
      <c r="Z27" s="70"/>
      <c r="AA27" s="70"/>
      <c r="AB27" s="71"/>
      <c r="AC27" s="323" t="str">
        <f t="shared" si="1"/>
        <v>Ok</v>
      </c>
      <c r="AD27" s="72"/>
    </row>
    <row r="28" spans="1:30">
      <c r="A28" s="67"/>
      <c r="B28" s="68" t="s">
        <v>29</v>
      </c>
      <c r="C28" s="92">
        <v>40136</v>
      </c>
      <c r="D28" s="68" t="s">
        <v>681</v>
      </c>
      <c r="E28" s="68"/>
      <c r="F28" s="68">
        <v>100426</v>
      </c>
      <c r="G28" s="69">
        <v>-196</v>
      </c>
      <c r="H28" s="69">
        <f t="shared" si="0"/>
        <v>-985.99000000000399</v>
      </c>
      <c r="I28" s="70"/>
      <c r="J28" s="70"/>
      <c r="K28" s="70"/>
      <c r="L28" s="70"/>
      <c r="M28" s="70"/>
      <c r="N28" s="70"/>
      <c r="O28" s="70">
        <v>-196</v>
      </c>
      <c r="P28" s="70"/>
      <c r="Q28" s="70"/>
      <c r="R28" s="70"/>
      <c r="S28" s="70"/>
      <c r="T28" s="70"/>
      <c r="U28" s="70"/>
      <c r="V28" s="70"/>
      <c r="W28" s="70"/>
      <c r="X28" s="70"/>
      <c r="Y28" s="70"/>
      <c r="Z28" s="70"/>
      <c r="AA28" s="70"/>
      <c r="AB28" s="71"/>
      <c r="AC28" s="323" t="str">
        <f t="shared" si="1"/>
        <v>Ok</v>
      </c>
      <c r="AD28" s="72"/>
    </row>
    <row r="29" spans="1:30">
      <c r="A29" s="67"/>
      <c r="B29" s="68" t="s">
        <v>29</v>
      </c>
      <c r="C29" s="92">
        <v>40127</v>
      </c>
      <c r="D29" s="68" t="s">
        <v>676</v>
      </c>
      <c r="E29" s="68"/>
      <c r="F29" s="68">
        <v>100427</v>
      </c>
      <c r="G29" s="69">
        <v>-350</v>
      </c>
      <c r="H29" s="69">
        <f t="shared" si="0"/>
        <v>-1335.9900000000039</v>
      </c>
      <c r="I29" s="70"/>
      <c r="J29" s="70"/>
      <c r="K29" s="70"/>
      <c r="L29" s="70"/>
      <c r="M29" s="70"/>
      <c r="N29" s="70"/>
      <c r="O29" s="70"/>
      <c r="P29" s="70"/>
      <c r="Q29" s="70"/>
      <c r="R29" s="70"/>
      <c r="S29" s="70"/>
      <c r="T29" s="70">
        <v>-350</v>
      </c>
      <c r="U29" s="70"/>
      <c r="V29" s="70"/>
      <c r="W29" s="70"/>
      <c r="X29" s="70"/>
      <c r="Y29" s="70"/>
      <c r="Z29" s="70"/>
      <c r="AA29" s="70"/>
      <c r="AB29" s="71"/>
      <c r="AC29" s="323" t="str">
        <f t="shared" si="1"/>
        <v>Ok</v>
      </c>
      <c r="AD29" s="72"/>
    </row>
    <row r="30" spans="1:30">
      <c r="A30" s="67"/>
      <c r="B30" s="68" t="s">
        <v>29</v>
      </c>
      <c r="C30" s="92">
        <v>40141</v>
      </c>
      <c r="D30" s="68" t="s">
        <v>682</v>
      </c>
      <c r="E30" s="68"/>
      <c r="F30" s="68">
        <v>100428</v>
      </c>
      <c r="G30" s="69">
        <v>-165</v>
      </c>
      <c r="H30" s="69">
        <f t="shared" si="0"/>
        <v>-1500.9900000000039</v>
      </c>
      <c r="I30" s="70"/>
      <c r="J30" s="70"/>
      <c r="K30" s="70"/>
      <c r="L30" s="70"/>
      <c r="M30" s="70"/>
      <c r="N30" s="70"/>
      <c r="O30" s="70"/>
      <c r="P30" s="70"/>
      <c r="Q30" s="70"/>
      <c r="R30" s="70"/>
      <c r="S30" s="70"/>
      <c r="T30" s="70">
        <v>0</v>
      </c>
      <c r="U30" s="70"/>
      <c r="V30" s="70"/>
      <c r="W30" s="70"/>
      <c r="X30" s="70"/>
      <c r="Y30" s="70"/>
      <c r="Z30" s="70"/>
      <c r="AA30" s="70">
        <v>-165</v>
      </c>
      <c r="AB30" s="71"/>
      <c r="AC30" s="323" t="str">
        <f t="shared" si="1"/>
        <v>Ok</v>
      </c>
      <c r="AD30" s="72"/>
    </row>
    <row r="31" spans="1:30">
      <c r="A31" s="67"/>
      <c r="B31" s="68" t="s">
        <v>29</v>
      </c>
      <c r="C31" s="92">
        <v>40136</v>
      </c>
      <c r="D31" s="68" t="s">
        <v>683</v>
      </c>
      <c r="E31" s="68"/>
      <c r="F31" s="68">
        <v>100429</v>
      </c>
      <c r="G31" s="69">
        <v>-264</v>
      </c>
      <c r="H31" s="69">
        <f t="shared" si="0"/>
        <v>-1764.9900000000039</v>
      </c>
      <c r="I31" s="70"/>
      <c r="J31" s="70"/>
      <c r="K31" s="70"/>
      <c r="L31" s="70"/>
      <c r="M31" s="70"/>
      <c r="N31" s="70"/>
      <c r="O31" s="70">
        <v>-264</v>
      </c>
      <c r="P31" s="70"/>
      <c r="Q31" s="70"/>
      <c r="R31" s="70"/>
      <c r="S31" s="70"/>
      <c r="T31" s="70"/>
      <c r="U31" s="70"/>
      <c r="V31" s="70"/>
      <c r="W31" s="70"/>
      <c r="X31" s="70"/>
      <c r="Y31" s="70"/>
      <c r="Z31" s="70"/>
      <c r="AA31" s="70"/>
      <c r="AB31" s="71"/>
      <c r="AC31" s="323" t="str">
        <f t="shared" si="1"/>
        <v>Ok</v>
      </c>
      <c r="AD31" s="72"/>
    </row>
    <row r="32" spans="1:30">
      <c r="A32" s="67"/>
      <c r="B32" s="68" t="s">
        <v>29</v>
      </c>
      <c r="C32" s="92">
        <v>40154</v>
      </c>
      <c r="D32" s="68" t="s">
        <v>684</v>
      </c>
      <c r="E32" s="68"/>
      <c r="F32" s="68">
        <v>100430</v>
      </c>
      <c r="G32" s="69">
        <v>-180</v>
      </c>
      <c r="H32" s="69">
        <f t="shared" si="0"/>
        <v>-1944.9900000000039</v>
      </c>
      <c r="I32" s="70"/>
      <c r="J32" s="70"/>
      <c r="K32" s="70"/>
      <c r="L32" s="70"/>
      <c r="M32" s="70"/>
      <c r="N32" s="70"/>
      <c r="O32" s="70">
        <v>-180</v>
      </c>
      <c r="P32" s="70"/>
      <c r="Q32" s="70"/>
      <c r="R32" s="70"/>
      <c r="S32" s="70"/>
      <c r="T32" s="70"/>
      <c r="U32" s="70"/>
      <c r="V32" s="70"/>
      <c r="W32" s="70"/>
      <c r="X32" s="70"/>
      <c r="Y32" s="70"/>
      <c r="Z32" s="70"/>
      <c r="AA32" s="70"/>
      <c r="AB32" s="71"/>
      <c r="AC32" s="323" t="str">
        <f t="shared" si="1"/>
        <v>Ok</v>
      </c>
      <c r="AD32" s="72"/>
    </row>
    <row r="33" spans="1:30">
      <c r="A33" s="67"/>
      <c r="B33" s="68" t="s">
        <v>29</v>
      </c>
      <c r="C33" s="92">
        <v>40132</v>
      </c>
      <c r="D33" s="68" t="s">
        <v>676</v>
      </c>
      <c r="E33" s="68"/>
      <c r="F33" s="68">
        <v>100431</v>
      </c>
      <c r="G33" s="69">
        <v>-327.60000000000002</v>
      </c>
      <c r="H33" s="69">
        <f t="shared" si="0"/>
        <v>-2272.5900000000038</v>
      </c>
      <c r="I33" s="70"/>
      <c r="J33" s="70"/>
      <c r="K33" s="70">
        <v>0</v>
      </c>
      <c r="L33" s="70"/>
      <c r="M33" s="70"/>
      <c r="N33" s="70"/>
      <c r="O33" s="70">
        <v>0</v>
      </c>
      <c r="P33" s="70"/>
      <c r="Q33" s="70"/>
      <c r="R33" s="70"/>
      <c r="S33" s="70"/>
      <c r="T33" s="70">
        <v>-327.60000000000002</v>
      </c>
      <c r="U33" s="70"/>
      <c r="V33" s="70"/>
      <c r="W33" s="70"/>
      <c r="X33" s="70"/>
      <c r="Y33" s="70"/>
      <c r="Z33" s="70"/>
      <c r="AA33" s="70"/>
      <c r="AB33" s="71"/>
      <c r="AC33" s="323" t="str">
        <f t="shared" si="1"/>
        <v>Ok</v>
      </c>
      <c r="AD33" s="72"/>
    </row>
    <row r="34" spans="1:30">
      <c r="A34" s="67"/>
      <c r="B34" s="68" t="s">
        <v>29</v>
      </c>
      <c r="C34" s="92">
        <v>40141</v>
      </c>
      <c r="D34" s="68" t="s">
        <v>685</v>
      </c>
      <c r="E34" s="68"/>
      <c r="F34" s="68">
        <v>100432</v>
      </c>
      <c r="G34" s="69">
        <v>-622.78</v>
      </c>
      <c r="H34" s="69">
        <f t="shared" si="0"/>
        <v>-2895.3700000000035</v>
      </c>
      <c r="I34" s="70"/>
      <c r="J34" s="70"/>
      <c r="K34" s="70"/>
      <c r="L34" s="70"/>
      <c r="M34" s="70"/>
      <c r="N34" s="70"/>
      <c r="O34" s="70"/>
      <c r="P34" s="70">
        <v>-552.78</v>
      </c>
      <c r="Q34" s="70">
        <v>-70</v>
      </c>
      <c r="R34" s="70"/>
      <c r="S34" s="70"/>
      <c r="T34" s="70"/>
      <c r="U34" s="70"/>
      <c r="V34" s="70"/>
      <c r="W34" s="70"/>
      <c r="X34" s="70"/>
      <c r="Y34" s="70"/>
      <c r="Z34" s="70"/>
      <c r="AA34" s="70"/>
      <c r="AB34" s="71"/>
      <c r="AC34" s="323" t="str">
        <f t="shared" si="1"/>
        <v>Ok</v>
      </c>
      <c r="AD34" s="72"/>
    </row>
    <row r="35" spans="1:30">
      <c r="A35" s="67"/>
      <c r="B35" s="68" t="s">
        <v>29</v>
      </c>
      <c r="C35" s="92" t="s">
        <v>686</v>
      </c>
      <c r="D35" s="68" t="s">
        <v>687</v>
      </c>
      <c r="E35" s="68"/>
      <c r="F35" s="68">
        <v>100433</v>
      </c>
      <c r="G35" s="69">
        <v>-397.55</v>
      </c>
      <c r="H35" s="69">
        <f t="shared" si="0"/>
        <v>-3292.9200000000037</v>
      </c>
      <c r="I35" s="70"/>
      <c r="J35" s="70"/>
      <c r="K35" s="70"/>
      <c r="L35" s="70"/>
      <c r="M35" s="70"/>
      <c r="N35" s="70"/>
      <c r="O35" s="70"/>
      <c r="P35" s="70"/>
      <c r="Q35" s="70"/>
      <c r="R35" s="70">
        <v>-397.55</v>
      </c>
      <c r="S35" s="70"/>
      <c r="T35" s="70"/>
      <c r="U35" s="70"/>
      <c r="V35" s="70"/>
      <c r="W35" s="70"/>
      <c r="X35" s="70"/>
      <c r="Y35" s="70"/>
      <c r="Z35" s="70"/>
      <c r="AA35" s="70"/>
      <c r="AB35" s="71"/>
      <c r="AC35" s="323" t="str">
        <f t="shared" si="1"/>
        <v>Ok</v>
      </c>
      <c r="AD35" s="72"/>
    </row>
    <row r="36" spans="1:30">
      <c r="A36" s="67"/>
      <c r="B36" s="68" t="s">
        <v>29</v>
      </c>
      <c r="C36" s="92">
        <v>40132</v>
      </c>
      <c r="D36" s="68" t="s">
        <v>688</v>
      </c>
      <c r="E36" s="68"/>
      <c r="F36" s="68">
        <v>100434</v>
      </c>
      <c r="G36" s="69">
        <v>-144.30000000000001</v>
      </c>
      <c r="H36" s="69">
        <f t="shared" si="0"/>
        <v>-3437.2200000000039</v>
      </c>
      <c r="I36" s="70"/>
      <c r="J36" s="70"/>
      <c r="K36" s="70"/>
      <c r="L36" s="70"/>
      <c r="M36" s="70"/>
      <c r="N36" s="70"/>
      <c r="O36" s="70"/>
      <c r="P36" s="70">
        <v>-144.30000000000001</v>
      </c>
      <c r="Q36" s="70"/>
      <c r="R36" s="70"/>
      <c r="S36" s="70"/>
      <c r="T36" s="70"/>
      <c r="U36" s="70"/>
      <c r="V36" s="70"/>
      <c r="W36" s="70"/>
      <c r="X36" s="70"/>
      <c r="Y36" s="70"/>
      <c r="Z36" s="70"/>
      <c r="AA36" s="70"/>
      <c r="AB36" s="71"/>
      <c r="AC36" s="323" t="str">
        <f t="shared" si="1"/>
        <v>Ok</v>
      </c>
      <c r="AD36" s="72"/>
    </row>
    <row r="37" spans="1:30">
      <c r="A37" s="67"/>
      <c r="B37" s="68" t="s">
        <v>29</v>
      </c>
      <c r="C37" s="92">
        <v>40142</v>
      </c>
      <c r="D37" s="68" t="s">
        <v>671</v>
      </c>
      <c r="E37" s="68"/>
      <c r="F37" s="68">
        <v>100435</v>
      </c>
      <c r="G37" s="69">
        <v>-286</v>
      </c>
      <c r="H37" s="69">
        <f t="shared" si="0"/>
        <v>-3723.2200000000039</v>
      </c>
      <c r="I37" s="70"/>
      <c r="J37" s="70"/>
      <c r="K37" s="70"/>
      <c r="L37" s="70"/>
      <c r="M37" s="70"/>
      <c r="N37" s="70"/>
      <c r="O37" s="70">
        <v>-286</v>
      </c>
      <c r="P37" s="70"/>
      <c r="Q37" s="70"/>
      <c r="R37" s="70"/>
      <c r="S37" s="70"/>
      <c r="T37" s="70"/>
      <c r="U37" s="70"/>
      <c r="V37" s="70"/>
      <c r="W37" s="70"/>
      <c r="X37" s="70"/>
      <c r="Y37" s="70"/>
      <c r="Z37" s="70"/>
      <c r="AA37" s="70"/>
      <c r="AB37" s="71"/>
      <c r="AC37" s="323" t="str">
        <f t="shared" si="1"/>
        <v>Ok</v>
      </c>
      <c r="AD37" s="72"/>
    </row>
    <row r="38" spans="1:30">
      <c r="A38" s="67"/>
      <c r="B38" s="68" t="s">
        <v>29</v>
      </c>
      <c r="C38" s="92">
        <v>40155</v>
      </c>
      <c r="D38" s="68" t="s">
        <v>728</v>
      </c>
      <c r="E38" s="68"/>
      <c r="F38" s="68"/>
      <c r="G38" s="69">
        <v>611.20000000000005</v>
      </c>
      <c r="H38" s="69">
        <f t="shared" si="0"/>
        <v>-3112.0200000000041</v>
      </c>
      <c r="I38" s="70"/>
      <c r="J38" s="70"/>
      <c r="K38" s="70"/>
      <c r="L38" s="70"/>
      <c r="M38" s="70"/>
      <c r="N38" s="70"/>
      <c r="O38" s="70"/>
      <c r="P38" s="70"/>
      <c r="Q38" s="70">
        <v>214.64</v>
      </c>
      <c r="R38" s="70">
        <v>396.56</v>
      </c>
      <c r="S38" s="70"/>
      <c r="T38" s="70"/>
      <c r="U38" s="70"/>
      <c r="V38" s="70"/>
      <c r="W38" s="70"/>
      <c r="X38" s="70"/>
      <c r="Y38" s="70"/>
      <c r="Z38" s="70"/>
      <c r="AA38" s="70"/>
      <c r="AB38" s="71"/>
      <c r="AC38" s="323" t="str">
        <f t="shared" si="1"/>
        <v>Ok</v>
      </c>
      <c r="AD38" s="72"/>
    </row>
    <row r="39" spans="1:30">
      <c r="A39" s="67"/>
      <c r="B39" s="68" t="s">
        <v>29</v>
      </c>
      <c r="C39" s="92">
        <v>40126</v>
      </c>
      <c r="D39" s="68" t="s">
        <v>695</v>
      </c>
      <c r="E39" s="68"/>
      <c r="F39" s="68"/>
      <c r="G39" s="69">
        <v>6700</v>
      </c>
      <c r="H39" s="69">
        <f t="shared" si="0"/>
        <v>3587.9799999999959</v>
      </c>
      <c r="I39" s="70">
        <v>6700</v>
      </c>
      <c r="J39" s="70"/>
      <c r="K39" s="70"/>
      <c r="L39" s="70"/>
      <c r="M39" s="70"/>
      <c r="N39" s="70"/>
      <c r="O39" s="70"/>
      <c r="P39" s="70"/>
      <c r="Q39" s="70"/>
      <c r="R39" s="70"/>
      <c r="S39" s="70"/>
      <c r="T39" s="70"/>
      <c r="U39" s="70"/>
      <c r="V39" s="70"/>
      <c r="W39" s="70"/>
      <c r="X39" s="70"/>
      <c r="Y39" s="70"/>
      <c r="Z39" s="70"/>
      <c r="AA39" s="70"/>
      <c r="AB39" s="71"/>
      <c r="AC39" s="323" t="str">
        <f t="shared" si="1"/>
        <v>Ok</v>
      </c>
      <c r="AD39" s="72"/>
    </row>
    <row r="40" spans="1:30">
      <c r="A40" s="67"/>
      <c r="B40" s="68" t="s">
        <v>29</v>
      </c>
      <c r="C40" s="92">
        <v>40121</v>
      </c>
      <c r="D40" s="68" t="s">
        <v>695</v>
      </c>
      <c r="E40" s="68"/>
      <c r="F40" s="68"/>
      <c r="G40" s="69">
        <v>631</v>
      </c>
      <c r="H40" s="69">
        <f t="shared" si="0"/>
        <v>4218.9799999999959</v>
      </c>
      <c r="I40" s="70"/>
      <c r="J40" s="70"/>
      <c r="K40" s="70"/>
      <c r="L40" s="70"/>
      <c r="M40" s="70">
        <v>631</v>
      </c>
      <c r="N40" s="70"/>
      <c r="O40" s="70"/>
      <c r="P40" s="70"/>
      <c r="Q40" s="70"/>
      <c r="R40" s="70"/>
      <c r="S40" s="70"/>
      <c r="T40" s="70"/>
      <c r="U40" s="70"/>
      <c r="V40" s="70"/>
      <c r="W40" s="70"/>
      <c r="X40" s="70"/>
      <c r="Y40" s="70"/>
      <c r="Z40" s="70"/>
      <c r="AA40" s="70"/>
      <c r="AB40" s="71"/>
      <c r="AC40" s="323" t="str">
        <f t="shared" si="1"/>
        <v>Ok</v>
      </c>
      <c r="AD40" s="72"/>
    </row>
    <row r="41" spans="1:30">
      <c r="A41" s="67"/>
      <c r="B41" s="68" t="s">
        <v>29</v>
      </c>
      <c r="C41" s="92">
        <v>40119</v>
      </c>
      <c r="D41" s="68" t="s">
        <v>729</v>
      </c>
      <c r="E41" s="68"/>
      <c r="F41" s="68"/>
      <c r="G41" s="69">
        <v>350</v>
      </c>
      <c r="H41" s="69">
        <f t="shared" si="0"/>
        <v>4568.9799999999959</v>
      </c>
      <c r="I41" s="70"/>
      <c r="J41" s="70"/>
      <c r="K41" s="70"/>
      <c r="L41" s="70"/>
      <c r="M41" s="70"/>
      <c r="N41" s="70"/>
      <c r="O41" s="70"/>
      <c r="P41" s="70"/>
      <c r="Q41" s="70">
        <v>350</v>
      </c>
      <c r="R41" s="70"/>
      <c r="S41" s="70"/>
      <c r="T41" s="70"/>
      <c r="U41" s="70"/>
      <c r="V41" s="70"/>
      <c r="W41" s="70"/>
      <c r="X41" s="70"/>
      <c r="Y41" s="70"/>
      <c r="Z41" s="70"/>
      <c r="AA41" s="70"/>
      <c r="AB41" s="71"/>
      <c r="AC41" s="323" t="str">
        <f t="shared" si="1"/>
        <v>Ok</v>
      </c>
      <c r="AD41" s="72"/>
    </row>
    <row r="42" spans="1:30">
      <c r="A42" s="67"/>
      <c r="B42" s="68" t="s">
        <v>29</v>
      </c>
      <c r="C42" s="92">
        <v>40128</v>
      </c>
      <c r="D42" s="68" t="s">
        <v>30</v>
      </c>
      <c r="E42" s="68"/>
      <c r="F42" s="68"/>
      <c r="G42" s="69">
        <v>-331.02</v>
      </c>
      <c r="H42" s="69">
        <f t="shared" si="0"/>
        <v>4237.9599999999955</v>
      </c>
      <c r="I42" s="70"/>
      <c r="J42" s="70"/>
      <c r="K42" s="70"/>
      <c r="L42" s="70"/>
      <c r="M42" s="70"/>
      <c r="N42" s="70"/>
      <c r="O42" s="70"/>
      <c r="P42" s="70"/>
      <c r="Q42" s="70">
        <v>-331.02</v>
      </c>
      <c r="R42" s="70"/>
      <c r="S42" s="70"/>
      <c r="T42" s="70"/>
      <c r="U42" s="70"/>
      <c r="V42" s="70"/>
      <c r="W42" s="70"/>
      <c r="X42" s="70"/>
      <c r="Y42" s="70"/>
      <c r="Z42" s="70"/>
      <c r="AA42" s="70"/>
      <c r="AB42" s="71"/>
      <c r="AC42" s="323" t="str">
        <f t="shared" si="1"/>
        <v>Ok</v>
      </c>
      <c r="AD42" s="72"/>
    </row>
    <row r="43" spans="1:30">
      <c r="A43" s="67"/>
      <c r="B43" s="68" t="s">
        <v>29</v>
      </c>
      <c r="C43" s="92">
        <v>40114</v>
      </c>
      <c r="D43" s="68" t="s">
        <v>689</v>
      </c>
      <c r="E43" s="68"/>
      <c r="F43" s="68"/>
      <c r="G43" s="69">
        <v>-335</v>
      </c>
      <c r="H43" s="69">
        <f t="shared" si="0"/>
        <v>3902.9599999999955</v>
      </c>
      <c r="I43" s="70"/>
      <c r="J43" s="70"/>
      <c r="K43" s="70"/>
      <c r="L43" s="70"/>
      <c r="M43" s="70"/>
      <c r="N43" s="70"/>
      <c r="O43" s="70"/>
      <c r="P43" s="70"/>
      <c r="Q43" s="70">
        <v>-335</v>
      </c>
      <c r="R43" s="70"/>
      <c r="S43" s="70"/>
      <c r="T43" s="70"/>
      <c r="U43" s="70"/>
      <c r="V43" s="70"/>
      <c r="W43" s="70"/>
      <c r="X43" s="70"/>
      <c r="Y43" s="70"/>
      <c r="Z43" s="70"/>
      <c r="AA43" s="70"/>
      <c r="AB43" s="71"/>
      <c r="AC43" s="323" t="str">
        <f t="shared" si="1"/>
        <v>Ok</v>
      </c>
      <c r="AD43" s="72"/>
    </row>
    <row r="44" spans="1:30">
      <c r="A44" s="67"/>
      <c r="B44" s="68" t="s">
        <v>232</v>
      </c>
      <c r="C44" s="92">
        <v>40169</v>
      </c>
      <c r="D44" s="68" t="s">
        <v>690</v>
      </c>
      <c r="E44" s="68"/>
      <c r="F44" s="68">
        <v>100445</v>
      </c>
      <c r="G44" s="69">
        <v>-3075.71</v>
      </c>
      <c r="H44" s="69">
        <f t="shared" si="0"/>
        <v>827.24999999999545</v>
      </c>
      <c r="I44" s="70"/>
      <c r="J44" s="70"/>
      <c r="K44" s="70"/>
      <c r="L44" s="70">
        <v>-3075.71</v>
      </c>
      <c r="M44" s="70"/>
      <c r="N44" s="70"/>
      <c r="O44" s="70"/>
      <c r="P44" s="70"/>
      <c r="Q44" s="70"/>
      <c r="R44" s="70"/>
      <c r="S44" s="70"/>
      <c r="T44" s="70"/>
      <c r="U44" s="70"/>
      <c r="V44" s="70"/>
      <c r="W44" s="70"/>
      <c r="X44" s="70"/>
      <c r="Y44" s="70"/>
      <c r="Z44" s="70"/>
      <c r="AA44" s="70"/>
      <c r="AB44" s="71"/>
      <c r="AC44" s="323" t="str">
        <f t="shared" si="1"/>
        <v>Ok</v>
      </c>
      <c r="AD44" s="72"/>
    </row>
    <row r="45" spans="1:30">
      <c r="A45" s="67"/>
      <c r="B45" s="68" t="s">
        <v>232</v>
      </c>
      <c r="C45" s="92">
        <v>40194</v>
      </c>
      <c r="D45" s="68" t="s">
        <v>691</v>
      </c>
      <c r="E45" s="68"/>
      <c r="F45" s="68"/>
      <c r="G45" s="69">
        <v>100</v>
      </c>
      <c r="H45" s="69">
        <f t="shared" si="0"/>
        <v>927.24999999999545</v>
      </c>
      <c r="I45" s="70"/>
      <c r="J45" s="70"/>
      <c r="K45" s="70"/>
      <c r="L45" s="70"/>
      <c r="M45" s="70"/>
      <c r="N45" s="70"/>
      <c r="O45" s="70"/>
      <c r="P45" s="70"/>
      <c r="Q45" s="70"/>
      <c r="R45" s="70"/>
      <c r="S45" s="70">
        <v>100</v>
      </c>
      <c r="T45" s="70"/>
      <c r="U45" s="70"/>
      <c r="V45" s="70"/>
      <c r="W45" s="70"/>
      <c r="X45" s="70"/>
      <c r="Y45" s="70"/>
      <c r="Z45" s="70"/>
      <c r="AA45" s="70"/>
      <c r="AB45" s="71"/>
      <c r="AC45" s="323" t="str">
        <f t="shared" si="1"/>
        <v>Ok</v>
      </c>
      <c r="AD45" s="72"/>
    </row>
    <row r="46" spans="1:30">
      <c r="A46" s="67"/>
      <c r="B46" s="68" t="s">
        <v>232</v>
      </c>
      <c r="C46" s="92">
        <v>40194</v>
      </c>
      <c r="D46" s="68" t="s">
        <v>692</v>
      </c>
      <c r="E46" s="68"/>
      <c r="F46" s="68"/>
      <c r="G46" s="69">
        <v>-220</v>
      </c>
      <c r="H46" s="69">
        <f t="shared" si="0"/>
        <v>707.24999999999545</v>
      </c>
      <c r="I46" s="70"/>
      <c r="J46" s="70"/>
      <c r="K46" s="70"/>
      <c r="L46" s="70"/>
      <c r="M46" s="70"/>
      <c r="N46" s="70"/>
      <c r="O46" s="70"/>
      <c r="P46" s="70"/>
      <c r="Q46" s="70"/>
      <c r="R46" s="70"/>
      <c r="S46" s="70"/>
      <c r="T46" s="70">
        <v>-220</v>
      </c>
      <c r="U46" s="70"/>
      <c r="V46" s="70"/>
      <c r="W46" s="70"/>
      <c r="X46" s="70"/>
      <c r="Y46" s="70"/>
      <c r="Z46" s="70"/>
      <c r="AA46" s="70"/>
      <c r="AB46" s="71"/>
      <c r="AC46" s="323" t="str">
        <f t="shared" si="1"/>
        <v>Ok</v>
      </c>
      <c r="AD46" s="72"/>
    </row>
    <row r="47" spans="1:30">
      <c r="A47" s="67"/>
      <c r="B47" s="68" t="s">
        <v>232</v>
      </c>
      <c r="C47" s="92">
        <v>40194</v>
      </c>
      <c r="D47" s="68" t="s">
        <v>693</v>
      </c>
      <c r="E47" s="68"/>
      <c r="F47" s="68"/>
      <c r="G47" s="69">
        <v>-39.92</v>
      </c>
      <c r="H47" s="69">
        <f t="shared" si="0"/>
        <v>667.32999999999549</v>
      </c>
      <c r="I47" s="70"/>
      <c r="J47" s="70"/>
      <c r="K47" s="70"/>
      <c r="L47" s="70"/>
      <c r="M47" s="70"/>
      <c r="N47" s="70"/>
      <c r="O47" s="70"/>
      <c r="P47" s="70"/>
      <c r="Q47" s="70"/>
      <c r="R47" s="70"/>
      <c r="S47" s="70"/>
      <c r="T47" s="70"/>
      <c r="U47" s="70"/>
      <c r="V47" s="70"/>
      <c r="W47" s="70">
        <v>-39.92</v>
      </c>
      <c r="X47" s="70"/>
      <c r="Y47" s="70"/>
      <c r="Z47" s="70"/>
      <c r="AA47" s="70"/>
      <c r="AB47" s="71"/>
      <c r="AC47" s="323" t="str">
        <f t="shared" si="1"/>
        <v>Ok</v>
      </c>
      <c r="AD47" s="72"/>
    </row>
    <row r="48" spans="1:30">
      <c r="A48" s="67"/>
      <c r="B48" s="68" t="s">
        <v>232</v>
      </c>
      <c r="C48" s="92">
        <v>40194</v>
      </c>
      <c r="D48" s="68" t="s">
        <v>694</v>
      </c>
      <c r="E48" s="68"/>
      <c r="F48" s="68"/>
      <c r="G48" s="69">
        <v>-110</v>
      </c>
      <c r="H48" s="69">
        <f t="shared" si="0"/>
        <v>557.32999999999549</v>
      </c>
      <c r="I48" s="70"/>
      <c r="J48" s="70"/>
      <c r="K48" s="70"/>
      <c r="L48" s="70"/>
      <c r="M48" s="70"/>
      <c r="N48" s="70"/>
      <c r="O48" s="70"/>
      <c r="P48" s="70"/>
      <c r="Q48" s="70"/>
      <c r="R48" s="70"/>
      <c r="S48" s="70"/>
      <c r="T48" s="70">
        <v>-110</v>
      </c>
      <c r="U48" s="70"/>
      <c r="V48" s="70"/>
      <c r="W48" s="70"/>
      <c r="X48" s="70"/>
      <c r="Y48" s="70"/>
      <c r="Z48" s="70"/>
      <c r="AA48" s="70"/>
      <c r="AB48" s="71"/>
      <c r="AC48" s="323" t="str">
        <f t="shared" si="1"/>
        <v>Ok</v>
      </c>
      <c r="AD48" s="72"/>
    </row>
    <row r="49" spans="1:30">
      <c r="A49" s="67"/>
      <c r="B49" s="68" t="s">
        <v>232</v>
      </c>
      <c r="C49" s="92">
        <v>40213</v>
      </c>
      <c r="D49" s="68" t="s">
        <v>703</v>
      </c>
      <c r="E49" s="68"/>
      <c r="F49" s="68">
        <v>100458</v>
      </c>
      <c r="G49" s="69">
        <v>-285</v>
      </c>
      <c r="H49" s="69">
        <f t="shared" si="0"/>
        <v>272.32999999999549</v>
      </c>
      <c r="I49" s="70"/>
      <c r="J49" s="70"/>
      <c r="K49" s="70"/>
      <c r="L49" s="70"/>
      <c r="M49" s="70"/>
      <c r="N49" s="70"/>
      <c r="O49" s="70"/>
      <c r="P49" s="70"/>
      <c r="Q49" s="70"/>
      <c r="R49" s="70"/>
      <c r="S49" s="70"/>
      <c r="T49" s="70">
        <v>-285</v>
      </c>
      <c r="U49" s="70"/>
      <c r="V49" s="70"/>
      <c r="W49" s="70"/>
      <c r="X49" s="70"/>
      <c r="Y49" s="70"/>
      <c r="Z49" s="70"/>
      <c r="AA49" s="70"/>
      <c r="AB49" s="71"/>
      <c r="AC49" s="323" t="str">
        <f t="shared" si="1"/>
        <v>Ok</v>
      </c>
      <c r="AD49" s="72"/>
    </row>
    <row r="50" spans="1:30" ht="13.5" customHeight="1">
      <c r="A50" s="67"/>
      <c r="B50" s="68" t="s">
        <v>232</v>
      </c>
      <c r="C50" s="92">
        <v>40213</v>
      </c>
      <c r="D50" s="68" t="s">
        <v>704</v>
      </c>
      <c r="E50" s="68"/>
      <c r="F50" s="68">
        <v>100459</v>
      </c>
      <c r="G50" s="69">
        <v>-20</v>
      </c>
      <c r="H50" s="69">
        <f t="shared" si="0"/>
        <v>252.32999999999549</v>
      </c>
      <c r="I50" s="70"/>
      <c r="J50" s="70"/>
      <c r="K50" s="70"/>
      <c r="L50" s="70"/>
      <c r="M50" s="70"/>
      <c r="N50" s="70"/>
      <c r="O50" s="70"/>
      <c r="P50" s="70"/>
      <c r="Q50" s="70"/>
      <c r="R50" s="70"/>
      <c r="S50" s="70"/>
      <c r="T50" s="70">
        <v>-20</v>
      </c>
      <c r="U50" s="70"/>
      <c r="V50" s="70"/>
      <c r="W50" s="70"/>
      <c r="X50" s="70"/>
      <c r="Y50" s="70"/>
      <c r="Z50" s="70"/>
      <c r="AA50" s="70"/>
      <c r="AB50" s="71"/>
      <c r="AC50" s="323" t="str">
        <f t="shared" si="1"/>
        <v>Ok</v>
      </c>
      <c r="AD50" s="72"/>
    </row>
    <row r="51" spans="1:30">
      <c r="A51" s="67"/>
      <c r="B51" s="68" t="s">
        <v>232</v>
      </c>
      <c r="C51" s="92">
        <v>40213</v>
      </c>
      <c r="D51" s="68" t="s">
        <v>705</v>
      </c>
      <c r="E51" s="68"/>
      <c r="F51" s="68">
        <v>100463</v>
      </c>
      <c r="G51" s="69">
        <v>-9.6</v>
      </c>
      <c r="H51" s="69">
        <f t="shared" si="0"/>
        <v>242.7299999999955</v>
      </c>
      <c r="I51" s="70"/>
      <c r="J51" s="70"/>
      <c r="K51" s="70"/>
      <c r="L51" s="70"/>
      <c r="M51" s="70"/>
      <c r="N51" s="70"/>
      <c r="O51" s="70"/>
      <c r="P51" s="70"/>
      <c r="Q51" s="70"/>
      <c r="R51" s="70"/>
      <c r="S51" s="70"/>
      <c r="T51" s="70">
        <v>-9.6</v>
      </c>
      <c r="U51" s="70"/>
      <c r="V51" s="70"/>
      <c r="W51" s="70"/>
      <c r="X51" s="70"/>
      <c r="Y51" s="70"/>
      <c r="Z51" s="70"/>
      <c r="AA51" s="70"/>
      <c r="AB51" s="71"/>
      <c r="AC51" s="323" t="str">
        <f t="shared" si="1"/>
        <v>Ok</v>
      </c>
      <c r="AD51" s="72"/>
    </row>
    <row r="52" spans="1:30">
      <c r="A52" s="67"/>
      <c r="B52" s="68" t="s">
        <v>232</v>
      </c>
      <c r="C52" s="92">
        <v>40213</v>
      </c>
      <c r="D52" s="68" t="s">
        <v>706</v>
      </c>
      <c r="E52" s="68"/>
      <c r="F52" s="68">
        <v>100461</v>
      </c>
      <c r="G52" s="69">
        <v>-20</v>
      </c>
      <c r="H52" s="69">
        <f t="shared" si="0"/>
        <v>222.7299999999955</v>
      </c>
      <c r="I52" s="70"/>
      <c r="J52" s="70"/>
      <c r="K52" s="70"/>
      <c r="L52" s="70"/>
      <c r="M52" s="70"/>
      <c r="N52" s="70"/>
      <c r="O52" s="70"/>
      <c r="P52" s="70"/>
      <c r="Q52" s="70"/>
      <c r="R52" s="70"/>
      <c r="S52" s="70"/>
      <c r="T52" s="70">
        <v>-20</v>
      </c>
      <c r="U52" s="70"/>
      <c r="V52" s="70"/>
      <c r="W52" s="70"/>
      <c r="X52" s="70"/>
      <c r="Y52" s="70"/>
      <c r="Z52" s="70"/>
      <c r="AA52" s="70"/>
      <c r="AB52" s="71"/>
      <c r="AC52" s="323" t="str">
        <f t="shared" si="1"/>
        <v>Ok</v>
      </c>
      <c r="AD52" s="72"/>
    </row>
    <row r="53" spans="1:30">
      <c r="A53" s="67"/>
      <c r="B53" s="68" t="s">
        <v>232</v>
      </c>
      <c r="C53" s="92">
        <v>40213</v>
      </c>
      <c r="D53" s="68" t="s">
        <v>707</v>
      </c>
      <c r="E53" s="68"/>
      <c r="F53" s="68">
        <v>100460</v>
      </c>
      <c r="G53" s="69">
        <v>-200</v>
      </c>
      <c r="H53" s="69">
        <f t="shared" si="0"/>
        <v>22.729999999995499</v>
      </c>
      <c r="I53" s="70"/>
      <c r="J53" s="70"/>
      <c r="K53" s="70"/>
      <c r="L53" s="70"/>
      <c r="M53" s="70"/>
      <c r="N53" s="70"/>
      <c r="O53" s="70"/>
      <c r="P53" s="70"/>
      <c r="Q53" s="70"/>
      <c r="R53" s="70"/>
      <c r="S53" s="70"/>
      <c r="T53" s="70">
        <v>-200</v>
      </c>
      <c r="U53" s="70"/>
      <c r="V53" s="70"/>
      <c r="W53" s="70"/>
      <c r="X53" s="70"/>
      <c r="Y53" s="70"/>
      <c r="Z53" s="70"/>
      <c r="AA53" s="70"/>
      <c r="AB53" s="71"/>
      <c r="AC53" s="323" t="str">
        <f t="shared" si="1"/>
        <v>Ok</v>
      </c>
      <c r="AD53" s="72"/>
    </row>
    <row r="54" spans="1:30">
      <c r="A54" s="67"/>
      <c r="B54" s="68" t="s">
        <v>232</v>
      </c>
      <c r="C54" s="92">
        <v>25</v>
      </c>
      <c r="D54" s="68" t="s">
        <v>730</v>
      </c>
      <c r="E54" s="68"/>
      <c r="F54" s="68"/>
      <c r="G54" s="69">
        <v>-90</v>
      </c>
      <c r="H54" s="69">
        <f t="shared" si="0"/>
        <v>-67.270000000004501</v>
      </c>
      <c r="I54" s="70"/>
      <c r="J54" s="70"/>
      <c r="K54" s="70"/>
      <c r="L54" s="70"/>
      <c r="M54" s="70"/>
      <c r="N54" s="70"/>
      <c r="O54" s="70"/>
      <c r="P54" s="70">
        <v>-90</v>
      </c>
      <c r="Q54" s="70"/>
      <c r="R54" s="70"/>
      <c r="S54" s="70"/>
      <c r="T54" s="70"/>
      <c r="U54" s="70"/>
      <c r="V54" s="70"/>
      <c r="W54" s="70"/>
      <c r="X54" s="70"/>
      <c r="Y54" s="70"/>
      <c r="Z54" s="70"/>
      <c r="AA54" s="70"/>
      <c r="AB54" s="71"/>
      <c r="AC54" s="323" t="str">
        <f t="shared" si="1"/>
        <v>Ok</v>
      </c>
      <c r="AD54" s="72"/>
    </row>
    <row r="55" spans="1:30">
      <c r="A55" s="67"/>
      <c r="B55" s="68" t="s">
        <v>232</v>
      </c>
      <c r="C55" s="92">
        <v>40206</v>
      </c>
      <c r="D55" s="68" t="s">
        <v>697</v>
      </c>
      <c r="E55" s="68"/>
      <c r="F55" s="68">
        <v>100448</v>
      </c>
      <c r="G55" s="69">
        <v>-174</v>
      </c>
      <c r="H55" s="69">
        <f t="shared" si="0"/>
        <v>-241.2700000000045</v>
      </c>
      <c r="I55" s="70"/>
      <c r="J55" s="70"/>
      <c r="K55" s="70"/>
      <c r="L55" s="70"/>
      <c r="M55" s="70"/>
      <c r="N55" s="70"/>
      <c r="O55" s="70">
        <v>-174</v>
      </c>
      <c r="P55" s="70"/>
      <c r="Q55" s="70"/>
      <c r="R55" s="70"/>
      <c r="S55" s="70"/>
      <c r="T55" s="70"/>
      <c r="U55" s="70"/>
      <c r="V55" s="70"/>
      <c r="W55" s="70"/>
      <c r="X55" s="70"/>
      <c r="Y55" s="70"/>
      <c r="Z55" s="70"/>
      <c r="AA55" s="70"/>
      <c r="AB55" s="71"/>
      <c r="AC55" s="323" t="str">
        <f t="shared" si="1"/>
        <v>Ok</v>
      </c>
      <c r="AD55" s="72"/>
    </row>
    <row r="56" spans="1:30">
      <c r="A56" s="67"/>
      <c r="B56" s="68" t="s">
        <v>232</v>
      </c>
      <c r="C56" s="92">
        <v>40214</v>
      </c>
      <c r="D56" s="68" t="s">
        <v>673</v>
      </c>
      <c r="E56" s="68"/>
      <c r="F56" s="68">
        <v>100449</v>
      </c>
      <c r="G56" s="69">
        <v>-100</v>
      </c>
      <c r="H56" s="69">
        <f t="shared" si="0"/>
        <v>-341.27000000000453</v>
      </c>
      <c r="I56" s="70"/>
      <c r="J56" s="70"/>
      <c r="K56" s="70"/>
      <c r="L56" s="70"/>
      <c r="M56" s="70"/>
      <c r="N56" s="70">
        <v>-100</v>
      </c>
      <c r="O56" s="70"/>
      <c r="P56" s="70"/>
      <c r="Q56" s="70"/>
      <c r="R56" s="70"/>
      <c r="S56" s="70"/>
      <c r="T56" s="70"/>
      <c r="U56" s="70"/>
      <c r="V56" s="70"/>
      <c r="W56" s="70"/>
      <c r="X56" s="70"/>
      <c r="Y56" s="70"/>
      <c r="Z56" s="70"/>
      <c r="AA56" s="70"/>
      <c r="AB56" s="71"/>
      <c r="AC56" s="323" t="str">
        <f t="shared" si="1"/>
        <v>Ok</v>
      </c>
      <c r="AD56" s="72"/>
    </row>
    <row r="57" spans="1:30">
      <c r="A57" s="67"/>
      <c r="B57" s="68" t="s">
        <v>29</v>
      </c>
      <c r="C57" s="92">
        <v>40214</v>
      </c>
      <c r="D57" s="68" t="s">
        <v>739</v>
      </c>
      <c r="E57" s="68"/>
      <c r="F57" s="68">
        <v>100277</v>
      </c>
      <c r="G57" s="69">
        <v>-160</v>
      </c>
      <c r="H57" s="69">
        <f t="shared" si="0"/>
        <v>-501.27000000000453</v>
      </c>
      <c r="I57" s="70"/>
      <c r="J57" s="70"/>
      <c r="K57" s="70"/>
      <c r="L57" s="70"/>
      <c r="M57" s="70"/>
      <c r="N57" s="70"/>
      <c r="O57" s="70">
        <v>-160</v>
      </c>
      <c r="P57" s="70"/>
      <c r="Q57" s="70"/>
      <c r="R57" s="70"/>
      <c r="S57" s="70"/>
      <c r="T57" s="70"/>
      <c r="U57" s="70"/>
      <c r="V57" s="70"/>
      <c r="W57" s="70"/>
      <c r="X57" s="70"/>
      <c r="Y57" s="70"/>
      <c r="Z57" s="70"/>
      <c r="AA57" s="70"/>
      <c r="AB57" s="71"/>
      <c r="AC57" s="323" t="str">
        <f t="shared" si="1"/>
        <v>Ok</v>
      </c>
      <c r="AD57" s="72"/>
    </row>
    <row r="58" spans="1:30">
      <c r="A58" s="67"/>
      <c r="B58" s="68" t="s">
        <v>232</v>
      </c>
      <c r="C58" s="92">
        <v>40214</v>
      </c>
      <c r="D58" s="68" t="s">
        <v>698</v>
      </c>
      <c r="E58" s="68"/>
      <c r="F58" s="68">
        <v>100450</v>
      </c>
      <c r="G58" s="69">
        <v>-228</v>
      </c>
      <c r="H58" s="69">
        <f t="shared" si="0"/>
        <v>-729.27000000000453</v>
      </c>
      <c r="I58" s="70"/>
      <c r="J58" s="70"/>
      <c r="K58" s="70"/>
      <c r="L58" s="70"/>
      <c r="M58" s="70"/>
      <c r="N58" s="70"/>
      <c r="O58" s="70">
        <v>-228</v>
      </c>
      <c r="P58" s="70"/>
      <c r="Q58" s="70"/>
      <c r="R58" s="70"/>
      <c r="S58" s="70"/>
      <c r="T58" s="70"/>
      <c r="U58" s="70"/>
      <c r="V58" s="70"/>
      <c r="W58" s="70"/>
      <c r="X58" s="70"/>
      <c r="Y58" s="70"/>
      <c r="Z58" s="70"/>
      <c r="AA58" s="70"/>
      <c r="AB58" s="71"/>
      <c r="AC58" s="323" t="str">
        <f t="shared" si="1"/>
        <v>Ok</v>
      </c>
      <c r="AD58" s="72"/>
    </row>
    <row r="59" spans="1:30">
      <c r="A59" s="67"/>
      <c r="B59" s="68" t="s">
        <v>232</v>
      </c>
      <c r="C59" s="92">
        <v>40224</v>
      </c>
      <c r="D59" s="68" t="s">
        <v>701</v>
      </c>
      <c r="E59" s="68"/>
      <c r="F59" s="68">
        <v>100452</v>
      </c>
      <c r="G59" s="69">
        <v>-90</v>
      </c>
      <c r="H59" s="69">
        <f t="shared" si="0"/>
        <v>-819.27000000000453</v>
      </c>
      <c r="I59" s="70"/>
      <c r="J59" s="70"/>
      <c r="K59" s="70"/>
      <c r="L59" s="70"/>
      <c r="M59" s="70"/>
      <c r="N59" s="70"/>
      <c r="O59" s="70">
        <v>-90</v>
      </c>
      <c r="P59" s="70"/>
      <c r="Q59" s="70"/>
      <c r="R59" s="70"/>
      <c r="S59" s="70"/>
      <c r="T59" s="70"/>
      <c r="U59" s="70"/>
      <c r="V59" s="70"/>
      <c r="W59" s="70"/>
      <c r="X59" s="70"/>
      <c r="Y59" s="70"/>
      <c r="Z59" s="70"/>
      <c r="AA59" s="70"/>
      <c r="AB59" s="71"/>
      <c r="AC59" s="323" t="str">
        <f t="shared" si="1"/>
        <v>Ok</v>
      </c>
      <c r="AD59" s="72"/>
    </row>
    <row r="60" spans="1:30">
      <c r="A60" s="67"/>
      <c r="B60" s="68" t="s">
        <v>232</v>
      </c>
      <c r="C60" s="92">
        <v>40224</v>
      </c>
      <c r="D60" s="68" t="s">
        <v>673</v>
      </c>
      <c r="E60" s="68"/>
      <c r="F60" s="68">
        <v>100453</v>
      </c>
      <c r="G60" s="69">
        <v>-252</v>
      </c>
      <c r="H60" s="69">
        <f t="shared" si="0"/>
        <v>-1071.2700000000045</v>
      </c>
      <c r="I60" s="70"/>
      <c r="J60" s="70"/>
      <c r="K60" s="70"/>
      <c r="L60" s="70"/>
      <c r="M60" s="70"/>
      <c r="N60" s="70"/>
      <c r="O60" s="70">
        <v>-252</v>
      </c>
      <c r="P60" s="70"/>
      <c r="Q60" s="70"/>
      <c r="R60" s="70"/>
      <c r="S60" s="70"/>
      <c r="T60" s="70"/>
      <c r="U60" s="70"/>
      <c r="V60" s="70"/>
      <c r="W60" s="70"/>
      <c r="X60" s="70"/>
      <c r="Y60" s="70"/>
      <c r="Z60" s="70"/>
      <c r="AA60" s="70"/>
      <c r="AB60" s="71"/>
      <c r="AC60" s="323" t="str">
        <f t="shared" si="1"/>
        <v>Ok</v>
      </c>
      <c r="AD60" s="72"/>
    </row>
    <row r="61" spans="1:30">
      <c r="A61" s="67"/>
      <c r="B61" s="68" t="s">
        <v>29</v>
      </c>
      <c r="C61" s="92">
        <v>40229</v>
      </c>
      <c r="D61" s="68" t="s">
        <v>138</v>
      </c>
      <c r="E61" s="68"/>
      <c r="F61" s="68"/>
      <c r="G61" s="69">
        <v>115</v>
      </c>
      <c r="H61" s="69">
        <f t="shared" si="0"/>
        <v>-956.27000000000453</v>
      </c>
      <c r="I61" s="70"/>
      <c r="J61" s="70"/>
      <c r="K61" s="70"/>
      <c r="L61" s="70"/>
      <c r="M61" s="70"/>
      <c r="N61" s="70"/>
      <c r="O61" s="70"/>
      <c r="P61" s="70"/>
      <c r="Q61" s="70"/>
      <c r="R61" s="70"/>
      <c r="S61" s="70">
        <v>115</v>
      </c>
      <c r="T61" s="70"/>
      <c r="U61" s="70"/>
      <c r="V61" s="70"/>
      <c r="W61" s="70"/>
      <c r="X61" s="70"/>
      <c r="Y61" s="70"/>
      <c r="Z61" s="70"/>
      <c r="AA61" s="70"/>
      <c r="AB61" s="71"/>
      <c r="AC61" s="323" t="str">
        <f t="shared" si="1"/>
        <v>Ok</v>
      </c>
      <c r="AD61" s="72"/>
    </row>
    <row r="62" spans="1:30">
      <c r="A62" s="67"/>
      <c r="B62" s="68" t="s">
        <v>232</v>
      </c>
      <c r="C62" s="92">
        <v>40231</v>
      </c>
      <c r="D62" s="68" t="s">
        <v>728</v>
      </c>
      <c r="E62" s="68"/>
      <c r="F62" s="68"/>
      <c r="G62" s="69">
        <v>252.49</v>
      </c>
      <c r="H62" s="69">
        <f t="shared" si="0"/>
        <v>-703.78000000000452</v>
      </c>
      <c r="I62" s="70"/>
      <c r="J62" s="70"/>
      <c r="K62" s="70"/>
      <c r="L62" s="70"/>
      <c r="M62" s="70"/>
      <c r="N62" s="70"/>
      <c r="O62" s="70"/>
      <c r="P62" s="70"/>
      <c r="Q62" s="70"/>
      <c r="R62" s="70">
        <v>252.49</v>
      </c>
      <c r="S62" s="70"/>
      <c r="T62" s="70"/>
      <c r="U62" s="70"/>
      <c r="V62" s="70"/>
      <c r="W62" s="70"/>
      <c r="X62" s="70"/>
      <c r="Y62" s="70"/>
      <c r="Z62" s="70"/>
      <c r="AA62" s="70"/>
      <c r="AB62" s="71"/>
      <c r="AC62" s="323" t="str">
        <f t="shared" si="1"/>
        <v>Ok</v>
      </c>
      <c r="AD62" s="72"/>
    </row>
    <row r="63" spans="1:30">
      <c r="A63" s="67"/>
      <c r="B63" s="68" t="s">
        <v>29</v>
      </c>
      <c r="C63" s="92">
        <v>40231</v>
      </c>
      <c r="D63" s="68" t="s">
        <v>696</v>
      </c>
      <c r="E63" s="68"/>
      <c r="F63" s="68">
        <v>100454</v>
      </c>
      <c r="G63" s="69">
        <v>-240</v>
      </c>
      <c r="H63" s="69">
        <f t="shared" si="0"/>
        <v>-943.78000000000452</v>
      </c>
      <c r="I63" s="70"/>
      <c r="J63" s="70"/>
      <c r="K63" s="70"/>
      <c r="L63" s="70"/>
      <c r="M63" s="70"/>
      <c r="N63" s="70"/>
      <c r="O63" s="70">
        <v>-240</v>
      </c>
      <c r="P63" s="70"/>
      <c r="Q63" s="70"/>
      <c r="R63" s="70"/>
      <c r="S63" s="70"/>
      <c r="T63" s="70"/>
      <c r="U63" s="70"/>
      <c r="V63" s="70"/>
      <c r="W63" s="70"/>
      <c r="X63" s="70"/>
      <c r="Y63" s="70"/>
      <c r="Z63" s="70"/>
      <c r="AA63" s="70"/>
      <c r="AB63" s="71"/>
      <c r="AC63" s="323" t="str">
        <f t="shared" si="1"/>
        <v>Ok</v>
      </c>
      <c r="AD63" s="72"/>
    </row>
    <row r="64" spans="1:30">
      <c r="A64" s="67"/>
      <c r="B64" s="68" t="s">
        <v>232</v>
      </c>
      <c r="C64" s="92">
        <v>40233</v>
      </c>
      <c r="D64" s="68" t="s">
        <v>708</v>
      </c>
      <c r="E64" s="68"/>
      <c r="F64" s="68"/>
      <c r="G64" s="69">
        <v>1500</v>
      </c>
      <c r="H64" s="69">
        <f t="shared" si="0"/>
        <v>556.21999999999548</v>
      </c>
      <c r="I64" s="70"/>
      <c r="J64" s="70">
        <v>1500</v>
      </c>
      <c r="K64" s="70"/>
      <c r="L64" s="70"/>
      <c r="M64" s="70"/>
      <c r="N64" s="70"/>
      <c r="O64" s="70"/>
      <c r="P64" s="70"/>
      <c r="Q64" s="70"/>
      <c r="R64" s="70"/>
      <c r="S64" s="70"/>
      <c r="T64" s="70"/>
      <c r="U64" s="70"/>
      <c r="V64" s="70"/>
      <c r="W64" s="70"/>
      <c r="X64" s="70"/>
      <c r="Y64" s="70"/>
      <c r="Z64" s="70"/>
      <c r="AA64" s="70"/>
      <c r="AB64" s="71"/>
      <c r="AC64" s="323" t="str">
        <f t="shared" si="1"/>
        <v>Ok</v>
      </c>
      <c r="AD64" s="72"/>
    </row>
    <row r="65" spans="1:30">
      <c r="A65" s="67"/>
      <c r="B65" s="68" t="s">
        <v>232</v>
      </c>
      <c r="C65" s="92">
        <v>40229</v>
      </c>
      <c r="D65" s="68" t="s">
        <v>24</v>
      </c>
      <c r="E65" s="68"/>
      <c r="F65" s="68">
        <v>100455</v>
      </c>
      <c r="G65" s="69">
        <v>-100</v>
      </c>
      <c r="H65" s="69">
        <f t="shared" si="0"/>
        <v>456.21999999999548</v>
      </c>
      <c r="I65" s="70"/>
      <c r="J65" s="70"/>
      <c r="K65" s="70"/>
      <c r="L65" s="70"/>
      <c r="M65" s="70"/>
      <c r="N65" s="70"/>
      <c r="O65" s="70">
        <v>-100</v>
      </c>
      <c r="P65" s="70"/>
      <c r="Q65" s="70"/>
      <c r="R65" s="70"/>
      <c r="S65" s="70"/>
      <c r="T65" s="70"/>
      <c r="U65" s="70"/>
      <c r="V65" s="70"/>
      <c r="W65" s="70"/>
      <c r="X65" s="70"/>
      <c r="Y65" s="70"/>
      <c r="Z65" s="70"/>
      <c r="AA65" s="70"/>
      <c r="AB65" s="71"/>
      <c r="AC65" s="323" t="str">
        <f t="shared" si="1"/>
        <v>Ok</v>
      </c>
      <c r="AD65" s="72" t="s">
        <v>537</v>
      </c>
    </row>
    <row r="66" spans="1:30" ht="12" customHeight="1">
      <c r="A66" s="67"/>
      <c r="B66" s="68" t="s">
        <v>232</v>
      </c>
      <c r="C66" s="92">
        <v>40243</v>
      </c>
      <c r="D66" s="68" t="s">
        <v>585</v>
      </c>
      <c r="E66" s="68"/>
      <c r="F66" s="68">
        <v>100456</v>
      </c>
      <c r="G66" s="69">
        <v>-16</v>
      </c>
      <c r="H66" s="69">
        <f t="shared" si="0"/>
        <v>440.21999999999548</v>
      </c>
      <c r="I66" s="70"/>
      <c r="J66" s="70"/>
      <c r="K66" s="70"/>
      <c r="L66" s="70"/>
      <c r="M66" s="70"/>
      <c r="N66" s="70"/>
      <c r="O66" s="70">
        <v>-16</v>
      </c>
      <c r="P66" s="70"/>
      <c r="Q66" s="70"/>
      <c r="R66" s="70"/>
      <c r="S66" s="70"/>
      <c r="T66" s="70"/>
      <c r="U66" s="70"/>
      <c r="V66" s="70"/>
      <c r="W66" s="70"/>
      <c r="X66" s="70"/>
      <c r="Y66" s="70"/>
      <c r="Z66" s="70"/>
      <c r="AA66" s="70"/>
      <c r="AB66" s="71"/>
      <c r="AC66" s="323" t="str">
        <f t="shared" si="1"/>
        <v>Ok</v>
      </c>
      <c r="AD66" s="72"/>
    </row>
    <row r="67" spans="1:30">
      <c r="A67" s="67"/>
      <c r="B67" s="68" t="s">
        <v>232</v>
      </c>
      <c r="C67" s="92">
        <v>40243</v>
      </c>
      <c r="D67" s="68" t="s">
        <v>702</v>
      </c>
      <c r="E67" s="68"/>
      <c r="F67" s="68">
        <v>100457</v>
      </c>
      <c r="G67" s="69">
        <v>-146.47999999999999</v>
      </c>
      <c r="H67" s="69">
        <f t="shared" si="0"/>
        <v>293.73999999999546</v>
      </c>
      <c r="I67" s="70"/>
      <c r="J67" s="70"/>
      <c r="K67" s="70"/>
      <c r="L67" s="70"/>
      <c r="M67" s="70"/>
      <c r="N67" s="70"/>
      <c r="O67" s="70"/>
      <c r="P67" s="70">
        <v>-146.47999999999999</v>
      </c>
      <c r="Q67" s="70"/>
      <c r="R67" s="70"/>
      <c r="S67" s="70"/>
      <c r="T67" s="70"/>
      <c r="U67" s="70"/>
      <c r="V67" s="70"/>
      <c r="W67" s="70"/>
      <c r="X67" s="70"/>
      <c r="Y67" s="70"/>
      <c r="Z67" s="70"/>
      <c r="AA67" s="70"/>
      <c r="AB67" s="71"/>
      <c r="AC67" s="323" t="str">
        <f t="shared" si="1"/>
        <v>Ok</v>
      </c>
      <c r="AD67" s="72" t="s">
        <v>157</v>
      </c>
    </row>
    <row r="68" spans="1:30">
      <c r="A68" s="67"/>
      <c r="B68" s="68" t="s">
        <v>232</v>
      </c>
      <c r="C68" s="92">
        <v>40260</v>
      </c>
      <c r="D68" s="68" t="s">
        <v>699</v>
      </c>
      <c r="E68" s="68"/>
      <c r="F68" s="68"/>
      <c r="G68" s="69">
        <v>-470</v>
      </c>
      <c r="H68" s="69">
        <f t="shared" si="0"/>
        <v>-176.26000000000454</v>
      </c>
      <c r="I68" s="70"/>
      <c r="J68" s="70"/>
      <c r="K68" s="70"/>
      <c r="L68" s="70"/>
      <c r="M68" s="70"/>
      <c r="N68" s="70"/>
      <c r="O68" s="70"/>
      <c r="P68" s="70"/>
      <c r="Q68" s="70"/>
      <c r="R68" s="70"/>
      <c r="S68" s="70"/>
      <c r="T68" s="70">
        <v>-470</v>
      </c>
      <c r="U68" s="70"/>
      <c r="V68" s="70"/>
      <c r="W68" s="70"/>
      <c r="X68" s="70"/>
      <c r="Y68" s="70"/>
      <c r="Z68" s="70"/>
      <c r="AA68" s="70"/>
      <c r="AB68" s="71"/>
      <c r="AC68" s="323" t="str">
        <f t="shared" si="1"/>
        <v>Ok</v>
      </c>
      <c r="AD68" s="72"/>
    </row>
    <row r="69" spans="1:30">
      <c r="A69" s="67"/>
      <c r="B69" s="68" t="s">
        <v>232</v>
      </c>
      <c r="C69" s="92">
        <v>40267</v>
      </c>
      <c r="D69" s="68" t="s">
        <v>288</v>
      </c>
      <c r="E69" s="68"/>
      <c r="F69" s="68"/>
      <c r="G69" s="69">
        <v>-68.95</v>
      </c>
      <c r="H69" s="69">
        <f t="shared" ref="H69:H132" si="2">H68+IF(B69="Yes",G69,0)</f>
        <v>-245.21000000000453</v>
      </c>
      <c r="I69" s="70"/>
      <c r="J69" s="70"/>
      <c r="K69" s="70"/>
      <c r="L69" s="70"/>
      <c r="M69" s="70"/>
      <c r="N69" s="70"/>
      <c r="O69" s="70"/>
      <c r="P69" s="70"/>
      <c r="Q69" s="70"/>
      <c r="R69" s="70"/>
      <c r="S69" s="70"/>
      <c r="T69" s="70"/>
      <c r="U69" s="70"/>
      <c r="V69" s="70"/>
      <c r="W69" s="70">
        <v>-68.95</v>
      </c>
      <c r="X69" s="70"/>
      <c r="Y69" s="70"/>
      <c r="Z69" s="70"/>
      <c r="AA69" s="70"/>
      <c r="AB69" s="71"/>
      <c r="AC69" s="323" t="str">
        <f t="shared" si="1"/>
        <v>Ok</v>
      </c>
      <c r="AD69" s="72"/>
    </row>
    <row r="70" spans="1:30">
      <c r="A70" s="67"/>
      <c r="B70" s="68" t="s">
        <v>232</v>
      </c>
      <c r="C70" s="92">
        <v>40260</v>
      </c>
      <c r="D70" s="68" t="s">
        <v>700</v>
      </c>
      <c r="E70" s="68"/>
      <c r="F70" s="68"/>
      <c r="G70" s="69">
        <v>-90</v>
      </c>
      <c r="H70" s="69">
        <f t="shared" si="2"/>
        <v>-335.21000000000453</v>
      </c>
      <c r="I70" s="74"/>
      <c r="J70" s="74"/>
      <c r="K70" s="74"/>
      <c r="L70" s="74"/>
      <c r="M70" s="74"/>
      <c r="N70" s="74"/>
      <c r="O70" s="74"/>
      <c r="P70" s="74"/>
      <c r="Q70" s="70"/>
      <c r="R70" s="74"/>
      <c r="S70" s="74"/>
      <c r="T70" s="70">
        <v>-90</v>
      </c>
      <c r="U70" s="74"/>
      <c r="V70" s="74"/>
      <c r="W70" s="74"/>
      <c r="X70" s="74"/>
      <c r="Y70" s="74"/>
      <c r="Z70" s="74"/>
      <c r="AA70" s="74"/>
      <c r="AB70" s="28"/>
      <c r="AC70" s="323" t="str">
        <f t="shared" si="1"/>
        <v>Ok</v>
      </c>
      <c r="AD70" s="72"/>
    </row>
    <row r="71" spans="1:30">
      <c r="A71" s="67"/>
      <c r="B71" s="68" t="s">
        <v>232</v>
      </c>
      <c r="C71" s="92">
        <v>40266</v>
      </c>
      <c r="D71" s="68" t="s">
        <v>709</v>
      </c>
      <c r="E71" s="68"/>
      <c r="F71" s="68"/>
      <c r="G71" s="69">
        <v>488</v>
      </c>
      <c r="H71" s="69">
        <f t="shared" si="2"/>
        <v>152.78999999999547</v>
      </c>
      <c r="I71" s="74"/>
      <c r="J71" s="74"/>
      <c r="K71" s="74"/>
      <c r="L71" s="74"/>
      <c r="M71" s="74"/>
      <c r="N71" s="74"/>
      <c r="O71" s="74"/>
      <c r="P71" s="74"/>
      <c r="Q71" s="70"/>
      <c r="R71" s="74"/>
      <c r="S71" s="74">
        <v>488</v>
      </c>
      <c r="T71" s="74"/>
      <c r="U71" s="74"/>
      <c r="V71" s="74"/>
      <c r="W71" s="74"/>
      <c r="X71" s="74"/>
      <c r="Y71" s="74"/>
      <c r="Z71" s="74"/>
      <c r="AA71" s="74"/>
      <c r="AB71" s="28"/>
      <c r="AC71" s="323" t="str">
        <f t="shared" si="1"/>
        <v>Ok</v>
      </c>
      <c r="AD71" s="72"/>
    </row>
    <row r="72" spans="1:30" ht="14.25" customHeight="1">
      <c r="A72" s="67"/>
      <c r="B72" s="68" t="s">
        <v>232</v>
      </c>
      <c r="C72" s="92">
        <v>40266</v>
      </c>
      <c r="D72" s="68" t="s">
        <v>731</v>
      </c>
      <c r="E72" s="68"/>
      <c r="F72" s="68">
        <v>100466</v>
      </c>
      <c r="G72" s="69">
        <v>-131.59</v>
      </c>
      <c r="H72" s="69">
        <f t="shared" si="2"/>
        <v>21.19999999999547</v>
      </c>
      <c r="I72" s="74"/>
      <c r="J72" s="74"/>
      <c r="K72" s="74"/>
      <c r="L72" s="74"/>
      <c r="M72" s="74"/>
      <c r="N72" s="74"/>
      <c r="O72" s="74"/>
      <c r="P72" s="74">
        <v>-131.59</v>
      </c>
      <c r="Q72" s="70"/>
      <c r="R72" s="74"/>
      <c r="S72" s="74"/>
      <c r="T72" s="74"/>
      <c r="U72" s="74"/>
      <c r="V72" s="74"/>
      <c r="W72" s="74"/>
      <c r="X72" s="74"/>
      <c r="Y72" s="74"/>
      <c r="Z72" s="74"/>
      <c r="AA72" s="74"/>
      <c r="AB72" s="28"/>
      <c r="AC72" s="323" t="str">
        <f t="shared" si="1"/>
        <v>Ok</v>
      </c>
      <c r="AD72" s="72"/>
    </row>
    <row r="73" spans="1:30" ht="14.25" customHeight="1">
      <c r="A73" s="67"/>
      <c r="B73" s="68" t="s">
        <v>232</v>
      </c>
      <c r="C73" s="92">
        <v>40274</v>
      </c>
      <c r="D73" s="68" t="s">
        <v>732</v>
      </c>
      <c r="E73" s="68"/>
      <c r="F73" s="68"/>
      <c r="G73" s="69">
        <v>140</v>
      </c>
      <c r="H73" s="69">
        <f t="shared" si="2"/>
        <v>161.19999999999547</v>
      </c>
      <c r="I73" s="74"/>
      <c r="J73" s="74">
        <v>140</v>
      </c>
      <c r="K73" s="74"/>
      <c r="L73" s="74"/>
      <c r="M73" s="74"/>
      <c r="N73" s="74"/>
      <c r="O73" s="74"/>
      <c r="P73" s="74"/>
      <c r="Q73" s="70"/>
      <c r="R73" s="74"/>
      <c r="S73" s="74"/>
      <c r="T73" s="74"/>
      <c r="U73" s="74"/>
      <c r="V73" s="74"/>
      <c r="W73" s="74"/>
      <c r="X73" s="74"/>
      <c r="Y73" s="74"/>
      <c r="Z73" s="74"/>
      <c r="AA73" s="74"/>
      <c r="AB73" s="28"/>
      <c r="AC73" s="323" t="str">
        <f t="shared" si="1"/>
        <v>Ok</v>
      </c>
      <c r="AD73" s="72"/>
    </row>
    <row r="74" spans="1:30" ht="14.25" customHeight="1">
      <c r="A74" s="67"/>
      <c r="B74" s="68" t="s">
        <v>232</v>
      </c>
      <c r="C74" s="92">
        <v>40275</v>
      </c>
      <c r="D74" s="68" t="s">
        <v>733</v>
      </c>
      <c r="E74" s="68"/>
      <c r="F74" s="68"/>
      <c r="G74" s="69">
        <v>-140</v>
      </c>
      <c r="H74" s="69">
        <f t="shared" si="2"/>
        <v>21.19999999999547</v>
      </c>
      <c r="I74" s="74"/>
      <c r="J74" s="70">
        <v>-140</v>
      </c>
      <c r="K74" s="74"/>
      <c r="L74" s="74"/>
      <c r="M74" s="74"/>
      <c r="N74" s="74"/>
      <c r="O74" s="74"/>
      <c r="P74" s="74"/>
      <c r="Q74" s="70"/>
      <c r="R74" s="74"/>
      <c r="S74" s="74"/>
      <c r="T74" s="74"/>
      <c r="U74" s="74"/>
      <c r="V74" s="74"/>
      <c r="W74" s="74"/>
      <c r="X74" s="74"/>
      <c r="Y74" s="74"/>
      <c r="Z74" s="74"/>
      <c r="AA74" s="74"/>
      <c r="AB74" s="28"/>
      <c r="AC74" s="323" t="str">
        <f t="shared" si="1"/>
        <v>Ok</v>
      </c>
      <c r="AD74" s="72"/>
    </row>
    <row r="75" spans="1:30" ht="14.25" customHeight="1">
      <c r="A75" s="67"/>
      <c r="B75" s="68" t="s">
        <v>232</v>
      </c>
      <c r="C75" s="92">
        <v>40278</v>
      </c>
      <c r="D75" s="68" t="s">
        <v>715</v>
      </c>
      <c r="E75" s="68"/>
      <c r="F75" s="68">
        <v>100464</v>
      </c>
      <c r="G75" s="69">
        <v>-864.57</v>
      </c>
      <c r="H75" s="69">
        <f t="shared" si="2"/>
        <v>-843.37000000000455</v>
      </c>
      <c r="I75" s="74"/>
      <c r="J75" s="74"/>
      <c r="K75" s="70">
        <v>-864.57</v>
      </c>
      <c r="L75" s="74"/>
      <c r="M75" s="74"/>
      <c r="N75" s="74"/>
      <c r="O75" s="74"/>
      <c r="P75" s="74"/>
      <c r="Q75" s="70"/>
      <c r="R75" s="74"/>
      <c r="S75" s="74"/>
      <c r="T75" s="74"/>
      <c r="U75" s="74"/>
      <c r="V75" s="74"/>
      <c r="W75" s="74"/>
      <c r="X75" s="74"/>
      <c r="Y75" s="74"/>
      <c r="Z75" s="74"/>
      <c r="AA75" s="74"/>
      <c r="AB75" s="28"/>
      <c r="AC75" s="323" t="str">
        <f t="shared" si="1"/>
        <v>Ok</v>
      </c>
      <c r="AD75" s="72"/>
    </row>
    <row r="76" spans="1:30" ht="12.75" customHeight="1">
      <c r="A76" s="67"/>
      <c r="B76" s="68" t="s">
        <v>232</v>
      </c>
      <c r="C76" s="92">
        <v>40280</v>
      </c>
      <c r="D76" s="68" t="s">
        <v>708</v>
      </c>
      <c r="E76" s="68"/>
      <c r="F76" s="68"/>
      <c r="G76" s="69">
        <v>3700</v>
      </c>
      <c r="H76" s="69">
        <f t="shared" si="2"/>
        <v>2856.6299999999956</v>
      </c>
      <c r="I76" s="74"/>
      <c r="J76" s="74">
        <v>3700</v>
      </c>
      <c r="K76" s="74"/>
      <c r="L76" s="74"/>
      <c r="M76" s="74"/>
      <c r="N76" s="74"/>
      <c r="O76" s="74"/>
      <c r="P76" s="74"/>
      <c r="Q76" s="70"/>
      <c r="R76" s="74"/>
      <c r="S76" s="74"/>
      <c r="T76" s="74"/>
      <c r="U76" s="74"/>
      <c r="V76" s="74"/>
      <c r="W76" s="74"/>
      <c r="X76" s="74"/>
      <c r="Y76" s="74"/>
      <c r="Z76" s="74"/>
      <c r="AA76" s="74"/>
      <c r="AB76" s="28"/>
      <c r="AC76" s="323" t="str">
        <f t="shared" ref="AC76:AC140" si="3">IF(SUM(I76:AA76)=G76,"Ok","Error")</f>
        <v>Ok</v>
      </c>
      <c r="AD76" s="72"/>
    </row>
    <row r="77" spans="1:30">
      <c r="A77" s="67"/>
      <c r="B77" s="68" t="s">
        <v>232</v>
      </c>
      <c r="C77" s="92">
        <v>40287</v>
      </c>
      <c r="D77" s="68" t="s">
        <v>738</v>
      </c>
      <c r="E77" s="68"/>
      <c r="F77" s="68"/>
      <c r="G77" s="69">
        <v>68</v>
      </c>
      <c r="H77" s="69">
        <f t="shared" si="2"/>
        <v>2924.6299999999956</v>
      </c>
      <c r="I77" s="74"/>
      <c r="J77" s="74"/>
      <c r="K77" s="74"/>
      <c r="L77" s="74"/>
      <c r="M77" s="74"/>
      <c r="N77" s="74"/>
      <c r="O77" s="74"/>
      <c r="P77" s="74"/>
      <c r="Q77" s="70"/>
      <c r="R77" s="74">
        <v>68</v>
      </c>
      <c r="S77" s="74"/>
      <c r="T77" s="74"/>
      <c r="U77" s="74"/>
      <c r="V77" s="74"/>
      <c r="W77" s="74"/>
      <c r="X77" s="74"/>
      <c r="Y77" s="74"/>
      <c r="Z77" s="74"/>
      <c r="AA77" s="74"/>
      <c r="AB77" s="28"/>
      <c r="AC77" s="323" t="str">
        <f t="shared" si="3"/>
        <v>Ok</v>
      </c>
      <c r="AD77" s="72"/>
    </row>
    <row r="78" spans="1:30">
      <c r="A78" s="67"/>
      <c r="B78" s="68" t="s">
        <v>232</v>
      </c>
      <c r="C78" s="92" t="s">
        <v>734</v>
      </c>
      <c r="D78" s="68" t="s">
        <v>735</v>
      </c>
      <c r="E78" s="68"/>
      <c r="F78" s="68">
        <v>100467</v>
      </c>
      <c r="G78" s="69">
        <v>-160</v>
      </c>
      <c r="H78" s="69">
        <f t="shared" si="2"/>
        <v>2764.6299999999956</v>
      </c>
      <c r="I78" s="74"/>
      <c r="J78" s="74"/>
      <c r="K78" s="74"/>
      <c r="L78" s="74"/>
      <c r="M78" s="74"/>
      <c r="N78" s="74"/>
      <c r="O78" s="70">
        <v>-160</v>
      </c>
      <c r="P78" s="74"/>
      <c r="Q78" s="70"/>
      <c r="R78" s="74"/>
      <c r="S78" s="74"/>
      <c r="T78" s="74"/>
      <c r="U78" s="74"/>
      <c r="V78" s="74"/>
      <c r="W78" s="74"/>
      <c r="X78" s="74"/>
      <c r="Y78" s="74"/>
      <c r="Z78" s="74"/>
      <c r="AA78" s="74"/>
      <c r="AB78" s="28"/>
      <c r="AC78" s="323" t="str">
        <f t="shared" si="3"/>
        <v>Ok</v>
      </c>
      <c r="AD78" s="72"/>
    </row>
    <row r="79" spans="1:30">
      <c r="A79" s="67"/>
      <c r="B79" s="68" t="s">
        <v>232</v>
      </c>
      <c r="C79" s="92">
        <v>40291</v>
      </c>
      <c r="D79" s="68" t="s">
        <v>710</v>
      </c>
      <c r="E79" s="68"/>
      <c r="F79" s="68"/>
      <c r="G79" s="69">
        <v>160.75</v>
      </c>
      <c r="H79" s="69">
        <f t="shared" si="2"/>
        <v>2925.3799999999956</v>
      </c>
      <c r="I79" s="74"/>
      <c r="J79" s="74"/>
      <c r="K79" s="74"/>
      <c r="L79" s="74"/>
      <c r="M79" s="70"/>
      <c r="N79" s="70"/>
      <c r="O79" s="70"/>
      <c r="P79" s="70"/>
      <c r="Q79" s="70"/>
      <c r="R79" s="70">
        <v>160.75</v>
      </c>
      <c r="S79" s="70"/>
      <c r="T79" s="70"/>
      <c r="U79" s="70"/>
      <c r="V79" s="70"/>
      <c r="W79" s="70"/>
      <c r="X79" s="70"/>
      <c r="Y79" s="70"/>
      <c r="Z79" s="70"/>
      <c r="AA79" s="70"/>
      <c r="AB79" s="28"/>
      <c r="AC79" s="323" t="str">
        <f t="shared" si="3"/>
        <v>Ok</v>
      </c>
      <c r="AD79" s="72"/>
    </row>
    <row r="80" spans="1:30">
      <c r="A80" s="67"/>
      <c r="B80" s="68" t="s">
        <v>232</v>
      </c>
      <c r="C80" s="92">
        <v>40297</v>
      </c>
      <c r="D80" s="68" t="s">
        <v>714</v>
      </c>
      <c r="E80" s="68"/>
      <c r="F80" s="68">
        <v>100470</v>
      </c>
      <c r="G80" s="69">
        <v>-96</v>
      </c>
      <c r="H80" s="69">
        <f t="shared" si="2"/>
        <v>2829.3799999999956</v>
      </c>
      <c r="I80" s="74"/>
      <c r="J80" s="74"/>
      <c r="K80" s="74"/>
      <c r="L80" s="74"/>
      <c r="M80" s="70"/>
      <c r="N80" s="70"/>
      <c r="O80" s="70">
        <v>-96</v>
      </c>
      <c r="P80" s="70"/>
      <c r="Q80" s="70"/>
      <c r="R80" s="70"/>
      <c r="S80" s="70"/>
      <c r="T80" s="70"/>
      <c r="U80" s="70"/>
      <c r="V80" s="70"/>
      <c r="W80" s="70"/>
      <c r="X80" s="70"/>
      <c r="Y80" s="70"/>
      <c r="Z80" s="70"/>
      <c r="AA80" s="70"/>
      <c r="AB80" s="28"/>
      <c r="AC80" s="323" t="str">
        <f t="shared" si="3"/>
        <v>Ok</v>
      </c>
      <c r="AD80" s="72"/>
    </row>
    <row r="81" spans="1:33">
      <c r="A81" s="67"/>
      <c r="B81" s="68" t="s">
        <v>232</v>
      </c>
      <c r="C81" s="92">
        <v>40293</v>
      </c>
      <c r="D81" s="68" t="s">
        <v>711</v>
      </c>
      <c r="E81" s="68"/>
      <c r="F81" s="68"/>
      <c r="G81" s="69">
        <v>173.25</v>
      </c>
      <c r="H81" s="69">
        <f t="shared" si="2"/>
        <v>3002.6299999999956</v>
      </c>
      <c r="I81" s="74"/>
      <c r="J81" s="74"/>
      <c r="K81" s="74"/>
      <c r="L81" s="74"/>
      <c r="M81" s="70"/>
      <c r="N81" s="70"/>
      <c r="O81" s="70"/>
      <c r="P81" s="70"/>
      <c r="Q81" s="70"/>
      <c r="R81" s="70">
        <v>173.25</v>
      </c>
      <c r="S81" s="70"/>
      <c r="T81" s="70"/>
      <c r="U81" s="70"/>
      <c r="V81" s="70"/>
      <c r="W81" s="70"/>
      <c r="X81" s="70"/>
      <c r="Y81" s="70"/>
      <c r="Z81" s="70"/>
      <c r="AA81" s="70"/>
      <c r="AB81" s="28"/>
      <c r="AC81" s="323" t="str">
        <f t="shared" si="3"/>
        <v>Ok</v>
      </c>
      <c r="AD81" s="72"/>
      <c r="AE81" t="s">
        <v>306</v>
      </c>
      <c r="AF81">
        <v>1</v>
      </c>
      <c r="AG81" t="s">
        <v>307</v>
      </c>
    </row>
    <row r="82" spans="1:33">
      <c r="A82" s="67"/>
      <c r="B82" s="68" t="s">
        <v>29</v>
      </c>
      <c r="C82" s="92">
        <v>40302</v>
      </c>
      <c r="D82" s="68" t="s">
        <v>712</v>
      </c>
      <c r="E82" s="68"/>
      <c r="F82" s="68"/>
      <c r="G82" s="69">
        <v>-1609.39</v>
      </c>
      <c r="H82" s="69">
        <f t="shared" si="2"/>
        <v>1393.2399999999955</v>
      </c>
      <c r="I82" s="74"/>
      <c r="J82" s="74"/>
      <c r="K82" s="74"/>
      <c r="L82" s="74"/>
      <c r="M82" s="70"/>
      <c r="N82" s="70"/>
      <c r="O82" s="70"/>
      <c r="P82" s="70"/>
      <c r="Q82" s="70"/>
      <c r="R82" s="70">
        <v>-1609.39</v>
      </c>
      <c r="S82" s="70"/>
      <c r="T82" s="70"/>
      <c r="U82" s="70"/>
      <c r="V82" s="70"/>
      <c r="W82" s="70"/>
      <c r="X82" s="70"/>
      <c r="Y82" s="70"/>
      <c r="Z82" s="70"/>
      <c r="AA82" s="70"/>
      <c r="AB82" s="28"/>
      <c r="AC82" s="323" t="str">
        <f t="shared" si="3"/>
        <v>Ok</v>
      </c>
      <c r="AD82" s="72" t="s">
        <v>713</v>
      </c>
      <c r="AE82" t="s">
        <v>306</v>
      </c>
      <c r="AF82">
        <v>1</v>
      </c>
    </row>
    <row r="83" spans="1:33">
      <c r="A83" s="67"/>
      <c r="B83" s="68" t="s">
        <v>232</v>
      </c>
      <c r="C83" s="92">
        <v>40304</v>
      </c>
      <c r="D83" s="68" t="s">
        <v>717</v>
      </c>
      <c r="E83" s="68"/>
      <c r="F83" s="68">
        <v>100471</v>
      </c>
      <c r="G83" s="69">
        <v>-68</v>
      </c>
      <c r="H83" s="69">
        <f t="shared" si="2"/>
        <v>1325.2399999999955</v>
      </c>
      <c r="I83" s="74"/>
      <c r="J83" s="74"/>
      <c r="K83" s="74"/>
      <c r="L83" s="74"/>
      <c r="M83" s="70"/>
      <c r="N83" s="70"/>
      <c r="O83" s="70">
        <v>-68</v>
      </c>
      <c r="P83" s="70"/>
      <c r="Q83" s="70"/>
      <c r="R83" s="70"/>
      <c r="S83" s="70"/>
      <c r="T83" s="70"/>
      <c r="U83" s="70"/>
      <c r="V83" s="70"/>
      <c r="W83" s="70"/>
      <c r="X83" s="70"/>
      <c r="Y83" s="70"/>
      <c r="Z83" s="70"/>
      <c r="AA83" s="70"/>
      <c r="AB83" s="28"/>
      <c r="AC83" s="323" t="str">
        <f t="shared" si="3"/>
        <v>Ok</v>
      </c>
      <c r="AD83" s="72"/>
    </row>
    <row r="84" spans="1:33">
      <c r="A84" s="67"/>
      <c r="B84" s="68" t="s">
        <v>232</v>
      </c>
      <c r="C84" s="92">
        <v>40312</v>
      </c>
      <c r="D84" s="68" t="s">
        <v>696</v>
      </c>
      <c r="E84" s="68"/>
      <c r="F84" s="68">
        <v>100469</v>
      </c>
      <c r="G84" s="69">
        <v>-240</v>
      </c>
      <c r="H84" s="69">
        <f t="shared" si="2"/>
        <v>1085.2399999999955</v>
      </c>
      <c r="I84" s="74"/>
      <c r="J84" s="74"/>
      <c r="K84" s="74"/>
      <c r="L84" s="74"/>
      <c r="M84" s="70"/>
      <c r="N84" s="70"/>
      <c r="O84" s="70">
        <v>-240</v>
      </c>
      <c r="P84" s="70"/>
      <c r="Q84" s="70"/>
      <c r="R84" s="70"/>
      <c r="S84" s="70"/>
      <c r="T84" s="70"/>
      <c r="U84" s="70"/>
      <c r="V84" s="70"/>
      <c r="W84" s="70"/>
      <c r="X84" s="70"/>
      <c r="Y84" s="70"/>
      <c r="Z84" s="70"/>
      <c r="AA84" s="70"/>
      <c r="AB84" s="28"/>
      <c r="AC84" s="323" t="str">
        <f t="shared" si="3"/>
        <v>Ok</v>
      </c>
      <c r="AD84" s="72"/>
    </row>
    <row r="85" spans="1:33">
      <c r="A85" s="67"/>
      <c r="B85" s="68" t="s">
        <v>232</v>
      </c>
      <c r="C85" s="92">
        <v>40315</v>
      </c>
      <c r="D85" s="68" t="s">
        <v>716</v>
      </c>
      <c r="E85" s="68"/>
      <c r="F85" s="68">
        <v>100474</v>
      </c>
      <c r="G85" s="69">
        <v>-280</v>
      </c>
      <c r="H85" s="69">
        <f t="shared" si="2"/>
        <v>805.23999999999546</v>
      </c>
      <c r="I85" s="74"/>
      <c r="J85" s="74"/>
      <c r="K85" s="74"/>
      <c r="L85" s="74"/>
      <c r="M85" s="70"/>
      <c r="N85" s="70"/>
      <c r="O85" s="70">
        <v>-280</v>
      </c>
      <c r="P85" s="70"/>
      <c r="Q85" s="70"/>
      <c r="R85" s="70"/>
      <c r="S85" s="70"/>
      <c r="T85" s="70"/>
      <c r="U85" s="70"/>
      <c r="V85" s="70"/>
      <c r="W85" s="70"/>
      <c r="X85" s="70"/>
      <c r="Y85" s="70"/>
      <c r="Z85" s="70"/>
      <c r="AA85" s="70"/>
      <c r="AB85" s="28"/>
      <c r="AC85" s="323" t="str">
        <f t="shared" si="3"/>
        <v>Ok</v>
      </c>
      <c r="AD85" s="72"/>
    </row>
    <row r="86" spans="1:33">
      <c r="A86" s="67"/>
      <c r="B86" s="68" t="s">
        <v>232</v>
      </c>
      <c r="C86" s="92">
        <v>40315</v>
      </c>
      <c r="D86" s="68" t="s">
        <v>673</v>
      </c>
      <c r="E86" s="68"/>
      <c r="F86" s="68">
        <v>100473</v>
      </c>
      <c r="G86" s="69">
        <v>-353</v>
      </c>
      <c r="H86" s="69">
        <f t="shared" si="2"/>
        <v>452.23999999999546</v>
      </c>
      <c r="I86" s="74"/>
      <c r="J86" s="74"/>
      <c r="K86" s="74"/>
      <c r="L86" s="74"/>
      <c r="M86" s="70"/>
      <c r="N86" s="70">
        <v>-89</v>
      </c>
      <c r="O86" s="70">
        <v>-264</v>
      </c>
      <c r="P86" s="70"/>
      <c r="Q86" s="70"/>
      <c r="R86" s="70"/>
      <c r="S86" s="70"/>
      <c r="T86" s="70"/>
      <c r="U86" s="70"/>
      <c r="V86" s="70"/>
      <c r="W86" s="70"/>
      <c r="X86" s="70"/>
      <c r="Y86" s="70"/>
      <c r="Z86" s="70"/>
      <c r="AA86" s="70"/>
      <c r="AB86" s="28"/>
      <c r="AC86" s="323" t="str">
        <f t="shared" si="3"/>
        <v>Ok</v>
      </c>
      <c r="AD86" s="72"/>
    </row>
    <row r="87" spans="1:33">
      <c r="A87" s="67"/>
      <c r="B87" s="68" t="s">
        <v>718</v>
      </c>
      <c r="C87" s="92">
        <v>40316</v>
      </c>
      <c r="D87" s="68" t="s">
        <v>719</v>
      </c>
      <c r="E87" s="68"/>
      <c r="F87" s="68">
        <v>100475</v>
      </c>
      <c r="G87" s="69">
        <v>-48</v>
      </c>
      <c r="H87" s="69">
        <f t="shared" si="2"/>
        <v>404.23999999999546</v>
      </c>
      <c r="I87" s="74"/>
      <c r="J87" s="74"/>
      <c r="K87" s="74"/>
      <c r="L87" s="74"/>
      <c r="M87" s="70"/>
      <c r="N87" s="70"/>
      <c r="O87" s="70"/>
      <c r="P87" s="70">
        <v>-48</v>
      </c>
      <c r="Q87" s="70"/>
      <c r="R87" s="70"/>
      <c r="S87" s="70"/>
      <c r="T87" s="70"/>
      <c r="U87" s="70"/>
      <c r="V87" s="70"/>
      <c r="W87" s="70"/>
      <c r="X87" s="70"/>
      <c r="Y87" s="70"/>
      <c r="Z87" s="70"/>
      <c r="AA87" s="70"/>
      <c r="AB87" s="28"/>
      <c r="AC87" s="323" t="str">
        <f t="shared" si="3"/>
        <v>Ok</v>
      </c>
      <c r="AD87" s="72"/>
    </row>
    <row r="88" spans="1:33">
      <c r="A88" s="67"/>
      <c r="B88" s="68" t="s">
        <v>232</v>
      </c>
      <c r="C88" s="92">
        <v>40327</v>
      </c>
      <c r="D88" s="68" t="s">
        <v>721</v>
      </c>
      <c r="E88" s="68"/>
      <c r="F88" s="68">
        <v>100468</v>
      </c>
      <c r="G88" s="69">
        <v>-240</v>
      </c>
      <c r="H88" s="69">
        <f t="shared" si="2"/>
        <v>164.23999999999546</v>
      </c>
      <c r="I88" s="74"/>
      <c r="J88" s="74"/>
      <c r="K88" s="74"/>
      <c r="L88" s="74"/>
      <c r="M88" s="70"/>
      <c r="N88" s="70"/>
      <c r="O88" s="70">
        <v>-240</v>
      </c>
      <c r="P88" s="70"/>
      <c r="Q88" s="70"/>
      <c r="R88" s="70"/>
      <c r="S88" s="70"/>
      <c r="T88" s="70"/>
      <c r="U88" s="70"/>
      <c r="V88" s="70"/>
      <c r="W88" s="70"/>
      <c r="X88" s="70"/>
      <c r="Y88" s="70"/>
      <c r="Z88" s="70"/>
      <c r="AA88" s="70"/>
      <c r="AB88" s="28"/>
      <c r="AC88" s="323" t="str">
        <f t="shared" si="3"/>
        <v>Ok</v>
      </c>
      <c r="AD88" s="72"/>
    </row>
    <row r="89" spans="1:33">
      <c r="A89" s="67"/>
      <c r="B89" s="68" t="s">
        <v>232</v>
      </c>
      <c r="C89" s="92">
        <v>40327</v>
      </c>
      <c r="D89" s="68" t="s">
        <v>24</v>
      </c>
      <c r="E89" s="68"/>
      <c r="F89" s="68">
        <v>100280</v>
      </c>
      <c r="G89" s="69">
        <v>-80</v>
      </c>
      <c r="H89" s="69">
        <f t="shared" si="2"/>
        <v>84.239999999995462</v>
      </c>
      <c r="I89" s="74"/>
      <c r="J89" s="74"/>
      <c r="K89" s="74"/>
      <c r="L89" s="74"/>
      <c r="M89" s="70"/>
      <c r="N89" s="70"/>
      <c r="O89" s="70">
        <v>-80</v>
      </c>
      <c r="P89" s="70"/>
      <c r="Q89" s="70"/>
      <c r="R89" s="70"/>
      <c r="S89" s="70"/>
      <c r="T89" s="70"/>
      <c r="U89" s="70"/>
      <c r="V89" s="70"/>
      <c r="W89" s="70"/>
      <c r="X89" s="70"/>
      <c r="Y89" s="70"/>
      <c r="Z89" s="70"/>
      <c r="AA89" s="70"/>
      <c r="AB89" s="28"/>
      <c r="AC89" s="323" t="str">
        <f t="shared" si="3"/>
        <v>Ok</v>
      </c>
      <c r="AD89" s="72" t="s">
        <v>720</v>
      </c>
    </row>
    <row r="90" spans="1:33">
      <c r="A90" s="67"/>
      <c r="B90" s="68" t="s">
        <v>29</v>
      </c>
      <c r="C90" s="92">
        <v>40336</v>
      </c>
      <c r="D90" s="68" t="s">
        <v>722</v>
      </c>
      <c r="E90" s="68"/>
      <c r="F90" s="68"/>
      <c r="G90" s="69">
        <v>2221.39</v>
      </c>
      <c r="H90" s="69">
        <f t="shared" si="2"/>
        <v>2305.6299999999956</v>
      </c>
      <c r="I90" s="74"/>
      <c r="J90" s="74"/>
      <c r="K90" s="74"/>
      <c r="L90" s="74"/>
      <c r="M90" s="70"/>
      <c r="N90" s="70"/>
      <c r="O90" s="70"/>
      <c r="P90" s="70"/>
      <c r="Q90" s="70"/>
      <c r="R90" s="70">
        <v>833.39</v>
      </c>
      <c r="S90" s="70">
        <v>1388</v>
      </c>
      <c r="T90" s="70"/>
      <c r="U90" s="70"/>
      <c r="V90" s="70"/>
      <c r="W90" s="70"/>
      <c r="X90" s="70"/>
      <c r="Y90" s="70"/>
      <c r="Z90" s="70"/>
      <c r="AA90" s="70"/>
      <c r="AB90" s="28"/>
      <c r="AC90" s="323" t="str">
        <f t="shared" si="3"/>
        <v>Ok</v>
      </c>
      <c r="AD90" s="72"/>
    </row>
    <row r="91" spans="1:33">
      <c r="A91" s="67"/>
      <c r="B91" s="68" t="s">
        <v>29</v>
      </c>
      <c r="C91" s="92">
        <v>40336</v>
      </c>
      <c r="D91" s="68" t="s">
        <v>723</v>
      </c>
      <c r="E91" s="68"/>
      <c r="F91" s="68"/>
      <c r="G91" s="69">
        <v>130.69999999999999</v>
      </c>
      <c r="H91" s="69">
        <f t="shared" si="2"/>
        <v>2436.3299999999954</v>
      </c>
      <c r="I91" s="74"/>
      <c r="J91" s="74"/>
      <c r="K91" s="74"/>
      <c r="L91" s="74"/>
      <c r="M91" s="70"/>
      <c r="N91" s="70"/>
      <c r="O91" s="70"/>
      <c r="P91" s="70"/>
      <c r="Q91" s="70"/>
      <c r="R91" s="70">
        <v>130.69999999999999</v>
      </c>
      <c r="S91" s="70"/>
      <c r="T91" s="70"/>
      <c r="U91" s="70"/>
      <c r="V91" s="70"/>
      <c r="W91" s="70"/>
      <c r="X91" s="70"/>
      <c r="Y91" s="70"/>
      <c r="Z91" s="70"/>
      <c r="AA91" s="70"/>
      <c r="AB91" s="28"/>
      <c r="AC91" s="323" t="str">
        <f t="shared" si="3"/>
        <v>Ok</v>
      </c>
      <c r="AD91" s="72"/>
    </row>
    <row r="92" spans="1:33">
      <c r="A92" s="67"/>
      <c r="B92" s="68" t="s">
        <v>232</v>
      </c>
      <c r="C92" s="92">
        <v>40335</v>
      </c>
      <c r="D92" s="68" t="s">
        <v>682</v>
      </c>
      <c r="E92" s="68"/>
      <c r="F92" s="68">
        <v>100476</v>
      </c>
      <c r="G92" s="69">
        <v>-20</v>
      </c>
      <c r="H92" s="69">
        <f t="shared" si="2"/>
        <v>2416.3299999999954</v>
      </c>
      <c r="I92" s="74"/>
      <c r="J92" s="74"/>
      <c r="K92" s="74"/>
      <c r="L92" s="74"/>
      <c r="M92" s="70"/>
      <c r="N92" s="70"/>
      <c r="O92" s="70"/>
      <c r="P92" s="70"/>
      <c r="Q92" s="70"/>
      <c r="R92" s="70"/>
      <c r="S92" s="70"/>
      <c r="T92" s="70">
        <v>-20</v>
      </c>
      <c r="U92" s="70"/>
      <c r="V92" s="70"/>
      <c r="W92" s="70"/>
      <c r="X92" s="70"/>
      <c r="Y92" s="70"/>
      <c r="Z92" s="70"/>
      <c r="AA92" s="70"/>
      <c r="AB92" s="28"/>
      <c r="AC92" s="323" t="str">
        <f t="shared" si="3"/>
        <v>Ok</v>
      </c>
      <c r="AD92" s="72"/>
    </row>
    <row r="93" spans="1:33">
      <c r="A93" s="67"/>
      <c r="B93" s="68" t="s">
        <v>232</v>
      </c>
      <c r="C93" s="92">
        <v>40335</v>
      </c>
      <c r="D93" s="68" t="s">
        <v>724</v>
      </c>
      <c r="E93" s="68"/>
      <c r="F93" s="68">
        <v>100477</v>
      </c>
      <c r="G93" s="69">
        <v>-150</v>
      </c>
      <c r="H93" s="69">
        <f t="shared" si="2"/>
        <v>2266.3299999999954</v>
      </c>
      <c r="I93" s="74"/>
      <c r="J93" s="74"/>
      <c r="K93" s="74"/>
      <c r="L93" s="74"/>
      <c r="M93" s="70"/>
      <c r="N93" s="70"/>
      <c r="O93" s="70"/>
      <c r="P93" s="70"/>
      <c r="Q93" s="70"/>
      <c r="R93" s="70"/>
      <c r="S93" s="70"/>
      <c r="T93" s="70">
        <v>-150</v>
      </c>
      <c r="U93" s="70"/>
      <c r="V93" s="70"/>
      <c r="W93" s="70"/>
      <c r="X93" s="70"/>
      <c r="Y93" s="70"/>
      <c r="Z93" s="70"/>
      <c r="AA93" s="70"/>
      <c r="AB93" s="28"/>
      <c r="AC93" s="323" t="str">
        <f t="shared" si="3"/>
        <v>Ok</v>
      </c>
      <c r="AD93" s="72"/>
    </row>
    <row r="94" spans="1:33">
      <c r="A94" s="67"/>
      <c r="B94" s="68" t="s">
        <v>232</v>
      </c>
      <c r="C94" s="92">
        <v>40335</v>
      </c>
      <c r="D94" s="68" t="s">
        <v>707</v>
      </c>
      <c r="E94" s="68"/>
      <c r="F94" s="68">
        <v>100479</v>
      </c>
      <c r="G94" s="69">
        <v>-580</v>
      </c>
      <c r="H94" s="69">
        <f t="shared" si="2"/>
        <v>1686.3299999999954</v>
      </c>
      <c r="I94" s="74"/>
      <c r="J94" s="74"/>
      <c r="K94" s="74"/>
      <c r="L94" s="74"/>
      <c r="M94" s="70"/>
      <c r="N94" s="70"/>
      <c r="O94" s="70"/>
      <c r="P94" s="70"/>
      <c r="Q94" s="70"/>
      <c r="R94" s="70"/>
      <c r="S94" s="70"/>
      <c r="T94" s="70">
        <v>-580</v>
      </c>
      <c r="U94" s="70"/>
      <c r="V94" s="70"/>
      <c r="W94" s="70"/>
      <c r="X94" s="70"/>
      <c r="Y94" s="70"/>
      <c r="Z94" s="70"/>
      <c r="AA94" s="70"/>
      <c r="AB94" s="28"/>
      <c r="AC94" s="323" t="str">
        <f t="shared" si="3"/>
        <v>Ok</v>
      </c>
      <c r="AD94" s="72"/>
    </row>
    <row r="95" spans="1:33">
      <c r="A95" s="67"/>
      <c r="B95" s="68" t="s">
        <v>232</v>
      </c>
      <c r="C95" s="92">
        <v>40335</v>
      </c>
      <c r="D95" s="68" t="s">
        <v>725</v>
      </c>
      <c r="E95" s="68"/>
      <c r="F95" s="68">
        <v>100480</v>
      </c>
      <c r="G95" s="69">
        <v>-340</v>
      </c>
      <c r="H95" s="69">
        <f t="shared" si="2"/>
        <v>1346.3299999999954</v>
      </c>
      <c r="I95" s="74"/>
      <c r="J95" s="74"/>
      <c r="K95" s="74"/>
      <c r="L95" s="74"/>
      <c r="M95" s="70"/>
      <c r="N95" s="70"/>
      <c r="O95" s="70"/>
      <c r="P95" s="70"/>
      <c r="Q95" s="70"/>
      <c r="R95" s="70"/>
      <c r="S95" s="70"/>
      <c r="T95" s="70">
        <v>-340</v>
      </c>
      <c r="U95" s="70"/>
      <c r="V95" s="70"/>
      <c r="W95" s="70"/>
      <c r="X95" s="70"/>
      <c r="Y95" s="70"/>
      <c r="Z95" s="70"/>
      <c r="AA95" s="70"/>
      <c r="AB95" s="28"/>
      <c r="AC95" s="323" t="str">
        <f t="shared" si="3"/>
        <v>Ok</v>
      </c>
      <c r="AD95" s="72"/>
    </row>
    <row r="96" spans="1:33">
      <c r="A96" s="67"/>
      <c r="B96" s="68" t="s">
        <v>232</v>
      </c>
      <c r="C96" s="92">
        <v>40337</v>
      </c>
      <c r="D96" s="68" t="s">
        <v>737</v>
      </c>
      <c r="E96" s="68"/>
      <c r="F96" s="68">
        <v>100281</v>
      </c>
      <c r="G96" s="69">
        <v>-60</v>
      </c>
      <c r="H96" s="69">
        <f t="shared" si="2"/>
        <v>1286.3299999999954</v>
      </c>
      <c r="I96" s="74"/>
      <c r="J96" s="74"/>
      <c r="K96" s="74"/>
      <c r="L96" s="74"/>
      <c r="M96" s="70"/>
      <c r="N96" s="70"/>
      <c r="O96" s="70">
        <v>-60</v>
      </c>
      <c r="P96" s="70"/>
      <c r="Q96" s="70"/>
      <c r="R96" s="70"/>
      <c r="S96" s="70"/>
      <c r="T96" s="70"/>
      <c r="U96" s="70"/>
      <c r="V96" s="70"/>
      <c r="W96" s="70"/>
      <c r="X96" s="70"/>
      <c r="Y96" s="70"/>
      <c r="Z96" s="70"/>
      <c r="AA96" s="70"/>
      <c r="AB96" s="28"/>
      <c r="AC96" s="323" t="str">
        <f t="shared" si="3"/>
        <v>Ok</v>
      </c>
      <c r="AD96" s="72"/>
    </row>
    <row r="97" spans="1:30">
      <c r="A97" s="67"/>
      <c r="B97" s="68" t="s">
        <v>232</v>
      </c>
      <c r="C97" s="92">
        <v>40344</v>
      </c>
      <c r="D97" s="68" t="s">
        <v>726</v>
      </c>
      <c r="E97" s="68"/>
      <c r="F97" s="68">
        <v>100481</v>
      </c>
      <c r="G97" s="69">
        <v>-257.62</v>
      </c>
      <c r="H97" s="69">
        <f t="shared" si="2"/>
        <v>1028.7099999999955</v>
      </c>
      <c r="I97" s="74"/>
      <c r="J97" s="74"/>
      <c r="K97" s="74"/>
      <c r="L97" s="74"/>
      <c r="M97" s="70"/>
      <c r="N97" s="70"/>
      <c r="O97" s="70"/>
      <c r="P97" s="70">
        <v>-257.62</v>
      </c>
      <c r="Q97" s="70"/>
      <c r="R97" s="70"/>
      <c r="S97" s="70"/>
      <c r="T97" s="70"/>
      <c r="U97" s="70"/>
      <c r="V97" s="70"/>
      <c r="W97" s="70"/>
      <c r="X97" s="70"/>
      <c r="Y97" s="70"/>
      <c r="Z97" s="70"/>
      <c r="AA97" s="70"/>
      <c r="AB97" s="28"/>
      <c r="AC97" s="323" t="str">
        <f t="shared" si="3"/>
        <v>Ok</v>
      </c>
      <c r="AD97" s="72"/>
    </row>
    <row r="98" spans="1:30">
      <c r="A98" s="67"/>
      <c r="B98" s="68" t="s">
        <v>232</v>
      </c>
      <c r="C98" s="92">
        <v>40344</v>
      </c>
      <c r="D98" s="68" t="s">
        <v>726</v>
      </c>
      <c r="E98" s="68"/>
      <c r="F98" s="68">
        <v>100482</v>
      </c>
      <c r="G98" s="69">
        <v>-84</v>
      </c>
      <c r="H98" s="69">
        <f t="shared" si="2"/>
        <v>944.70999999999549</v>
      </c>
      <c r="I98" s="74"/>
      <c r="J98" s="74"/>
      <c r="K98" s="74"/>
      <c r="L98" s="74"/>
      <c r="M98" s="70"/>
      <c r="N98" s="70"/>
      <c r="O98" s="70"/>
      <c r="P98" s="70">
        <v>-84</v>
      </c>
      <c r="Q98" s="70"/>
      <c r="R98" s="70"/>
      <c r="S98" s="70"/>
      <c r="T98" s="70"/>
      <c r="U98" s="70"/>
      <c r="V98" s="70"/>
      <c r="W98" s="70"/>
      <c r="X98" s="70"/>
      <c r="Y98" s="70"/>
      <c r="Z98" s="70"/>
      <c r="AA98" s="70"/>
      <c r="AB98" s="28"/>
      <c r="AC98" s="323" t="str">
        <f t="shared" si="3"/>
        <v>Ok</v>
      </c>
      <c r="AD98" s="72"/>
    </row>
    <row r="99" spans="1:30">
      <c r="A99" s="67"/>
      <c r="B99" s="68" t="s">
        <v>232</v>
      </c>
      <c r="C99" s="92">
        <v>40347</v>
      </c>
      <c r="D99" s="68" t="s">
        <v>727</v>
      </c>
      <c r="E99" s="68"/>
      <c r="F99" s="68">
        <v>100483</v>
      </c>
      <c r="G99" s="69">
        <v>-150</v>
      </c>
      <c r="H99" s="69">
        <f t="shared" si="2"/>
        <v>794.70999999999549</v>
      </c>
      <c r="I99" s="74"/>
      <c r="J99" s="74"/>
      <c r="K99" s="74"/>
      <c r="L99" s="74"/>
      <c r="M99" s="70"/>
      <c r="N99" s="70"/>
      <c r="O99" s="70"/>
      <c r="P99" s="70"/>
      <c r="Q99" s="70"/>
      <c r="R99" s="70"/>
      <c r="S99" s="70"/>
      <c r="T99" s="70">
        <v>-150</v>
      </c>
      <c r="U99" s="70"/>
      <c r="V99" s="70"/>
      <c r="W99" s="70"/>
      <c r="X99" s="70"/>
      <c r="Y99" s="70"/>
      <c r="Z99" s="70"/>
      <c r="AA99" s="70"/>
      <c r="AB99" s="28"/>
      <c r="AC99" s="323" t="str">
        <f t="shared" si="3"/>
        <v>Ok</v>
      </c>
      <c r="AD99" s="72"/>
    </row>
    <row r="100" spans="1:30">
      <c r="A100" s="67"/>
      <c r="B100" s="68" t="s">
        <v>232</v>
      </c>
      <c r="C100" s="92">
        <v>40347</v>
      </c>
      <c r="D100" s="68" t="s">
        <v>30</v>
      </c>
      <c r="E100" s="68"/>
      <c r="F100" s="68">
        <v>100484</v>
      </c>
      <c r="G100" s="69">
        <v>-73.95</v>
      </c>
      <c r="H100" s="69">
        <f t="shared" si="2"/>
        <v>720.75999999999544</v>
      </c>
      <c r="I100" s="74"/>
      <c r="J100" s="74"/>
      <c r="K100" s="74"/>
      <c r="L100" s="74"/>
      <c r="M100" s="70"/>
      <c r="N100" s="70"/>
      <c r="O100" s="70"/>
      <c r="P100" s="70"/>
      <c r="Q100" s="70"/>
      <c r="R100" s="70"/>
      <c r="S100" s="70"/>
      <c r="T100" s="70">
        <v>-21.85</v>
      </c>
      <c r="U100" s="70"/>
      <c r="V100" s="70"/>
      <c r="W100" s="70">
        <v>-52.1</v>
      </c>
      <c r="X100" s="70"/>
      <c r="Y100" s="70"/>
      <c r="Z100" s="70"/>
      <c r="AA100" s="70"/>
      <c r="AB100" s="28"/>
      <c r="AC100" s="323" t="str">
        <f t="shared" si="3"/>
        <v>Ok</v>
      </c>
      <c r="AD100" s="72"/>
    </row>
    <row r="101" spans="1:30">
      <c r="A101" s="67"/>
      <c r="B101" s="68" t="s">
        <v>232</v>
      </c>
      <c r="C101" s="92">
        <v>40347</v>
      </c>
      <c r="D101" s="68" t="s">
        <v>288</v>
      </c>
      <c r="E101" s="68"/>
      <c r="F101" s="68">
        <v>100485</v>
      </c>
      <c r="G101" s="69">
        <v>-47.11</v>
      </c>
      <c r="H101" s="69">
        <f t="shared" si="2"/>
        <v>673.64999999999543</v>
      </c>
      <c r="I101" s="74"/>
      <c r="J101" s="74"/>
      <c r="K101" s="70"/>
      <c r="L101" s="70"/>
      <c r="M101" s="70"/>
      <c r="N101" s="70"/>
      <c r="O101" s="70"/>
      <c r="P101" s="70"/>
      <c r="Q101" s="70"/>
      <c r="R101" s="70"/>
      <c r="S101" s="70"/>
      <c r="T101" s="70"/>
      <c r="U101" s="70"/>
      <c r="V101" s="70"/>
      <c r="W101" s="70">
        <v>-47.11</v>
      </c>
      <c r="X101" s="70"/>
      <c r="Y101" s="70"/>
      <c r="Z101" s="70"/>
      <c r="AA101" s="70"/>
      <c r="AB101" s="28"/>
      <c r="AC101" s="323" t="str">
        <f t="shared" si="3"/>
        <v>Ok</v>
      </c>
      <c r="AD101" s="72"/>
    </row>
    <row r="102" spans="1:30">
      <c r="A102" s="67"/>
      <c r="B102" s="68" t="s">
        <v>232</v>
      </c>
      <c r="C102" s="92">
        <v>40347</v>
      </c>
      <c r="D102" s="68" t="s">
        <v>702</v>
      </c>
      <c r="E102" s="68"/>
      <c r="F102" s="68">
        <v>100487</v>
      </c>
      <c r="G102" s="69">
        <v>-435</v>
      </c>
      <c r="H102" s="69">
        <f t="shared" si="2"/>
        <v>238.64999999999543</v>
      </c>
      <c r="I102" s="74"/>
      <c r="J102" s="74"/>
      <c r="K102" s="70"/>
      <c r="L102" s="70"/>
      <c r="M102" s="70"/>
      <c r="N102" s="70"/>
      <c r="O102" s="70"/>
      <c r="P102" s="70"/>
      <c r="Q102" s="70"/>
      <c r="R102" s="70"/>
      <c r="S102" s="70"/>
      <c r="T102" s="70">
        <v>-435</v>
      </c>
      <c r="U102" s="70"/>
      <c r="V102" s="70"/>
      <c r="W102" s="70"/>
      <c r="X102" s="70"/>
      <c r="Y102" s="70"/>
      <c r="Z102" s="70"/>
      <c r="AA102" s="70"/>
      <c r="AB102" s="28"/>
      <c r="AC102" s="323" t="str">
        <f t="shared" si="3"/>
        <v>Ok</v>
      </c>
      <c r="AD102" s="72"/>
    </row>
    <row r="103" spans="1:30">
      <c r="A103" s="67"/>
      <c r="B103" s="68" t="s">
        <v>232</v>
      </c>
      <c r="C103" s="92">
        <v>40350</v>
      </c>
      <c r="D103" s="68" t="s">
        <v>43</v>
      </c>
      <c r="E103" s="68"/>
      <c r="F103" s="68">
        <v>100488</v>
      </c>
      <c r="G103" s="69">
        <v>-32.89</v>
      </c>
      <c r="H103" s="69">
        <f t="shared" si="2"/>
        <v>205.75999999999544</v>
      </c>
      <c r="I103" s="74"/>
      <c r="J103" s="74"/>
      <c r="K103" s="70"/>
      <c r="L103" s="70"/>
      <c r="M103" s="70"/>
      <c r="N103" s="70"/>
      <c r="O103" s="70"/>
      <c r="P103" s="70"/>
      <c r="Q103" s="70"/>
      <c r="R103" s="70"/>
      <c r="S103" s="70"/>
      <c r="T103" s="70"/>
      <c r="U103" s="70"/>
      <c r="V103" s="70"/>
      <c r="W103" s="70">
        <v>-32.89</v>
      </c>
      <c r="X103" s="70"/>
      <c r="Y103" s="70"/>
      <c r="Z103" s="70"/>
      <c r="AA103" s="70"/>
      <c r="AB103" s="28"/>
      <c r="AC103" s="323" t="str">
        <f t="shared" si="3"/>
        <v>Ok</v>
      </c>
      <c r="AD103" s="72"/>
    </row>
    <row r="104" spans="1:30">
      <c r="A104" s="67"/>
      <c r="B104" s="68" t="s">
        <v>232</v>
      </c>
      <c r="C104" s="92">
        <v>40350</v>
      </c>
      <c r="D104" s="68" t="s">
        <v>64</v>
      </c>
      <c r="E104" s="68"/>
      <c r="F104" s="68">
        <v>100489</v>
      </c>
      <c r="G104" s="69">
        <v>-32.89</v>
      </c>
      <c r="H104" s="69">
        <f t="shared" si="2"/>
        <v>172.86999999999546</v>
      </c>
      <c r="I104" s="74"/>
      <c r="J104" s="74"/>
      <c r="K104" s="70"/>
      <c r="L104" s="70"/>
      <c r="M104" s="70"/>
      <c r="N104" s="70"/>
      <c r="O104" s="70"/>
      <c r="P104" s="70"/>
      <c r="Q104" s="70"/>
      <c r="R104" s="70"/>
      <c r="S104" s="70"/>
      <c r="T104" s="70"/>
      <c r="U104" s="70"/>
      <c r="V104" s="70"/>
      <c r="W104" s="70">
        <v>-32.89</v>
      </c>
      <c r="X104" s="70"/>
      <c r="Y104" s="70"/>
      <c r="Z104" s="70"/>
      <c r="AA104" s="70"/>
      <c r="AB104" s="28"/>
      <c r="AC104" s="323" t="str">
        <f t="shared" si="3"/>
        <v>Ok</v>
      </c>
      <c r="AD104" s="72"/>
    </row>
    <row r="105" spans="1:30">
      <c r="A105" s="67"/>
      <c r="B105" s="68" t="s">
        <v>232</v>
      </c>
      <c r="C105" s="92">
        <v>40350</v>
      </c>
      <c r="D105" s="68" t="s">
        <v>287</v>
      </c>
      <c r="E105" s="68"/>
      <c r="F105" s="68">
        <v>100490</v>
      </c>
      <c r="G105" s="69">
        <v>-70.78</v>
      </c>
      <c r="H105" s="69">
        <f t="shared" si="2"/>
        <v>102.08999999999546</v>
      </c>
      <c r="I105" s="74"/>
      <c r="J105" s="74"/>
      <c r="K105" s="70"/>
      <c r="L105" s="70"/>
      <c r="M105" s="70"/>
      <c r="N105" s="70"/>
      <c r="O105" s="70"/>
      <c r="P105" s="70"/>
      <c r="Q105" s="70"/>
      <c r="R105" s="70"/>
      <c r="S105" s="70"/>
      <c r="T105" s="70"/>
      <c r="U105" s="70"/>
      <c r="V105" s="70"/>
      <c r="W105" s="70">
        <v>-70.78</v>
      </c>
      <c r="X105" s="70"/>
      <c r="Y105" s="70"/>
      <c r="Z105" s="70"/>
      <c r="AA105" s="70"/>
      <c r="AB105" s="28"/>
      <c r="AC105" s="323" t="str">
        <f t="shared" si="3"/>
        <v>Ok</v>
      </c>
      <c r="AD105" s="72"/>
    </row>
    <row r="106" spans="1:30">
      <c r="A106" s="67"/>
      <c r="B106" s="68" t="s">
        <v>232</v>
      </c>
      <c r="C106" s="92">
        <v>40350</v>
      </c>
      <c r="D106" s="68" t="s">
        <v>282</v>
      </c>
      <c r="E106" s="68"/>
      <c r="F106" s="68">
        <v>100491</v>
      </c>
      <c r="G106" s="69">
        <v>-37.89</v>
      </c>
      <c r="H106" s="69">
        <f t="shared" si="2"/>
        <v>64.199999999995455</v>
      </c>
      <c r="I106" s="74"/>
      <c r="J106" s="74"/>
      <c r="K106" s="70"/>
      <c r="L106" s="70"/>
      <c r="M106" s="70"/>
      <c r="N106" s="70"/>
      <c r="O106" s="70"/>
      <c r="P106" s="70"/>
      <c r="Q106" s="70"/>
      <c r="R106" s="70"/>
      <c r="S106" s="70"/>
      <c r="T106" s="70"/>
      <c r="U106" s="70"/>
      <c r="V106" s="70"/>
      <c r="W106" s="70">
        <v>-37.89</v>
      </c>
      <c r="X106" s="70"/>
      <c r="Y106" s="70"/>
      <c r="Z106" s="70"/>
      <c r="AA106" s="70"/>
      <c r="AB106" s="28"/>
      <c r="AC106" s="323" t="str">
        <f t="shared" si="3"/>
        <v>Ok</v>
      </c>
      <c r="AD106" s="72"/>
    </row>
    <row r="107" spans="1:30">
      <c r="A107" s="67"/>
      <c r="B107" s="68" t="s">
        <v>232</v>
      </c>
      <c r="C107" s="92">
        <v>40351</v>
      </c>
      <c r="D107" s="68" t="s">
        <v>736</v>
      </c>
      <c r="E107" s="68"/>
      <c r="F107" s="68">
        <v>100492</v>
      </c>
      <c r="G107" s="69">
        <v>-1289.02</v>
      </c>
      <c r="H107" s="69">
        <f t="shared" si="2"/>
        <v>-1224.8200000000045</v>
      </c>
      <c r="I107" s="74"/>
      <c r="J107" s="74"/>
      <c r="K107" s="70"/>
      <c r="L107" s="70"/>
      <c r="M107" s="70"/>
      <c r="N107" s="70"/>
      <c r="O107" s="70"/>
      <c r="P107" s="70">
        <v>-1289.02</v>
      </c>
      <c r="Q107" s="70"/>
      <c r="R107" s="70"/>
      <c r="S107" s="70"/>
      <c r="T107" s="70"/>
      <c r="U107" s="70"/>
      <c r="V107" s="70"/>
      <c r="W107" s="70"/>
      <c r="X107" s="70"/>
      <c r="Y107" s="70"/>
      <c r="Z107" s="70"/>
      <c r="AA107" s="70"/>
      <c r="AB107" s="28"/>
      <c r="AC107" s="323" t="str">
        <f t="shared" si="3"/>
        <v>Ok</v>
      </c>
      <c r="AD107" s="72"/>
    </row>
    <row r="108" spans="1:30">
      <c r="A108" s="67"/>
      <c r="B108" s="68" t="s">
        <v>29</v>
      </c>
      <c r="C108" s="92">
        <v>40353</v>
      </c>
      <c r="D108" s="68" t="s">
        <v>702</v>
      </c>
      <c r="E108" s="68"/>
      <c r="F108" s="68">
        <v>100493</v>
      </c>
      <c r="G108" s="69">
        <v>-310</v>
      </c>
      <c r="H108" s="69">
        <f t="shared" si="2"/>
        <v>-1534.8200000000045</v>
      </c>
      <c r="I108" s="74"/>
      <c r="J108" s="74"/>
      <c r="K108" s="70"/>
      <c r="L108" s="70"/>
      <c r="M108" s="70"/>
      <c r="N108" s="70"/>
      <c r="O108" s="70"/>
      <c r="P108" s="70"/>
      <c r="Q108" s="70"/>
      <c r="R108" s="70"/>
      <c r="S108" s="70"/>
      <c r="T108" s="70">
        <v>-310</v>
      </c>
      <c r="U108" s="70"/>
      <c r="V108" s="70"/>
      <c r="W108" s="70"/>
      <c r="X108" s="70"/>
      <c r="Y108" s="70"/>
      <c r="Z108" s="70"/>
      <c r="AA108" s="70"/>
      <c r="AB108" s="28"/>
      <c r="AC108" s="323" t="str">
        <f t="shared" si="3"/>
        <v>Ok</v>
      </c>
      <c r="AD108" s="72"/>
    </row>
    <row r="109" spans="1:30">
      <c r="A109" s="67"/>
      <c r="B109" s="68"/>
      <c r="C109" s="92"/>
      <c r="D109" s="68" t="s">
        <v>753</v>
      </c>
      <c r="E109" s="68"/>
      <c r="F109" s="68"/>
      <c r="G109" s="69"/>
      <c r="H109" s="69">
        <f t="shared" si="2"/>
        <v>-1534.8200000000045</v>
      </c>
      <c r="I109" s="74"/>
      <c r="J109" s="74"/>
      <c r="K109" s="70"/>
      <c r="L109" s="70"/>
      <c r="M109" s="70"/>
      <c r="N109" s="70"/>
      <c r="O109" s="70"/>
      <c r="P109" s="70"/>
      <c r="Q109" s="70"/>
      <c r="R109" s="70"/>
      <c r="S109" s="70"/>
      <c r="T109" s="70"/>
      <c r="U109" s="70"/>
      <c r="V109" s="70"/>
      <c r="W109" s="70"/>
      <c r="X109" s="70"/>
      <c r="Y109" s="70"/>
      <c r="Z109" s="70"/>
      <c r="AA109" s="70"/>
      <c r="AB109" s="28"/>
      <c r="AC109" s="323" t="str">
        <f t="shared" si="3"/>
        <v>Ok</v>
      </c>
      <c r="AD109" s="72"/>
    </row>
    <row r="110" spans="1:30">
      <c r="A110" s="67"/>
      <c r="B110" s="68"/>
      <c r="C110" s="92"/>
      <c r="D110" s="322" t="s">
        <v>754</v>
      </c>
      <c r="E110" s="68"/>
      <c r="F110" s="68"/>
      <c r="G110" s="69"/>
      <c r="H110" s="69">
        <f t="shared" si="2"/>
        <v>-1534.8200000000045</v>
      </c>
      <c r="I110" s="74"/>
      <c r="J110" s="74"/>
      <c r="K110" s="70"/>
      <c r="L110" s="70"/>
      <c r="M110" s="70"/>
      <c r="N110" s="70"/>
      <c r="O110" s="70"/>
      <c r="P110" s="70"/>
      <c r="Q110" s="70"/>
      <c r="R110" s="70"/>
      <c r="S110" s="70"/>
      <c r="T110" s="70"/>
      <c r="U110" s="70"/>
      <c r="V110" s="70"/>
      <c r="W110" s="70"/>
      <c r="X110" s="70"/>
      <c r="Y110" s="70"/>
      <c r="Z110" s="70"/>
      <c r="AA110" s="70"/>
      <c r="AB110" s="28"/>
      <c r="AC110" s="323" t="str">
        <f t="shared" si="3"/>
        <v>Ok</v>
      </c>
      <c r="AD110" s="72"/>
    </row>
    <row r="111" spans="1:30">
      <c r="A111" s="67"/>
      <c r="B111" s="68"/>
      <c r="C111" s="92"/>
      <c r="D111" s="68"/>
      <c r="E111" s="68"/>
      <c r="F111" s="68"/>
      <c r="G111" s="69"/>
      <c r="H111" s="69">
        <f t="shared" si="2"/>
        <v>-1534.8200000000045</v>
      </c>
      <c r="I111" s="74"/>
      <c r="J111" s="74"/>
      <c r="K111" s="70"/>
      <c r="L111" s="70"/>
      <c r="M111" s="70"/>
      <c r="N111" s="70"/>
      <c r="O111" s="70"/>
      <c r="P111" s="70"/>
      <c r="Q111" s="70"/>
      <c r="R111" s="70"/>
      <c r="S111" s="70"/>
      <c r="T111" s="70"/>
      <c r="U111" s="70"/>
      <c r="V111" s="70"/>
      <c r="W111" s="70"/>
      <c r="X111" s="70"/>
      <c r="Y111" s="70"/>
      <c r="Z111" s="70"/>
      <c r="AA111" s="70"/>
      <c r="AB111" s="28"/>
      <c r="AC111" s="323" t="str">
        <f t="shared" si="3"/>
        <v>Ok</v>
      </c>
      <c r="AD111" s="72"/>
    </row>
    <row r="112" spans="1:30">
      <c r="A112" s="67"/>
      <c r="B112" s="68"/>
      <c r="C112" s="92"/>
      <c r="D112" s="68"/>
      <c r="E112" s="68"/>
      <c r="F112" s="68"/>
      <c r="G112" s="69"/>
      <c r="H112" s="69">
        <f t="shared" si="2"/>
        <v>-1534.8200000000045</v>
      </c>
      <c r="I112" s="74"/>
      <c r="J112" s="74"/>
      <c r="K112" s="70"/>
      <c r="L112" s="70"/>
      <c r="M112" s="70"/>
      <c r="N112" s="70"/>
      <c r="O112" s="70"/>
      <c r="P112" s="70"/>
      <c r="Q112" s="70"/>
      <c r="R112" s="70"/>
      <c r="S112" s="70"/>
      <c r="T112" s="70"/>
      <c r="U112" s="70"/>
      <c r="V112" s="70"/>
      <c r="W112" s="70"/>
      <c r="X112" s="70"/>
      <c r="Y112" s="70"/>
      <c r="Z112" s="70"/>
      <c r="AA112" s="70"/>
      <c r="AB112" s="28"/>
      <c r="AC112" s="323" t="str">
        <f t="shared" si="3"/>
        <v>Ok</v>
      </c>
      <c r="AD112" s="72"/>
    </row>
    <row r="113" spans="1:30">
      <c r="A113" s="67"/>
      <c r="B113" s="68"/>
      <c r="C113" s="92"/>
      <c r="D113" s="68"/>
      <c r="E113" s="68"/>
      <c r="F113" s="68"/>
      <c r="G113" s="69"/>
      <c r="H113" s="69">
        <f t="shared" si="2"/>
        <v>-1534.8200000000045</v>
      </c>
      <c r="I113" s="74"/>
      <c r="J113" s="74"/>
      <c r="K113" s="70"/>
      <c r="L113" s="70"/>
      <c r="M113" s="70"/>
      <c r="N113" s="70"/>
      <c r="O113" s="70"/>
      <c r="P113" s="70"/>
      <c r="Q113" s="70"/>
      <c r="R113" s="70"/>
      <c r="S113" s="70"/>
      <c r="T113" s="70"/>
      <c r="U113" s="70"/>
      <c r="V113" s="70"/>
      <c r="W113" s="70"/>
      <c r="X113" s="70"/>
      <c r="Y113" s="70"/>
      <c r="Z113" s="70"/>
      <c r="AA113" s="70"/>
      <c r="AB113" s="28"/>
      <c r="AC113" s="323" t="str">
        <f t="shared" si="3"/>
        <v>Ok</v>
      </c>
      <c r="AD113" s="72"/>
    </row>
    <row r="114" spans="1:30">
      <c r="A114" s="67"/>
      <c r="B114" s="68"/>
      <c r="C114" s="92"/>
      <c r="D114" s="68"/>
      <c r="E114" s="68"/>
      <c r="F114" s="68"/>
      <c r="G114" s="69"/>
      <c r="H114" s="69">
        <f t="shared" si="2"/>
        <v>-1534.8200000000045</v>
      </c>
      <c r="I114" s="74"/>
      <c r="J114" s="74"/>
      <c r="K114" s="70"/>
      <c r="L114" s="70"/>
      <c r="M114" s="70"/>
      <c r="N114" s="70"/>
      <c r="O114" s="70"/>
      <c r="P114" s="70"/>
      <c r="Q114" s="70"/>
      <c r="R114" s="70"/>
      <c r="S114" s="70"/>
      <c r="T114" s="70"/>
      <c r="U114" s="70"/>
      <c r="V114" s="70"/>
      <c r="W114" s="70"/>
      <c r="X114" s="70"/>
      <c r="Y114" s="70"/>
      <c r="Z114" s="70"/>
      <c r="AA114" s="70"/>
      <c r="AB114" s="28"/>
      <c r="AC114" s="323" t="str">
        <f t="shared" si="3"/>
        <v>Ok</v>
      </c>
      <c r="AD114" s="72"/>
    </row>
    <row r="115" spans="1:30">
      <c r="A115" s="67"/>
      <c r="B115" s="68"/>
      <c r="C115" s="92"/>
      <c r="D115" s="68"/>
      <c r="E115" s="68"/>
      <c r="F115" s="68"/>
      <c r="G115" s="69"/>
      <c r="H115" s="69">
        <f t="shared" si="2"/>
        <v>-1534.8200000000045</v>
      </c>
      <c r="I115" s="74"/>
      <c r="J115" s="74"/>
      <c r="K115" s="70"/>
      <c r="L115" s="70"/>
      <c r="M115" s="70"/>
      <c r="N115" s="70"/>
      <c r="O115" s="70"/>
      <c r="P115" s="70"/>
      <c r="Q115" s="70"/>
      <c r="R115" s="70"/>
      <c r="S115" s="70"/>
      <c r="T115" s="70"/>
      <c r="U115" s="70"/>
      <c r="V115" s="70"/>
      <c r="W115" s="70"/>
      <c r="X115" s="70"/>
      <c r="Y115" s="70"/>
      <c r="Z115" s="70"/>
      <c r="AA115" s="70"/>
      <c r="AB115" s="28"/>
      <c r="AC115" s="323" t="str">
        <f t="shared" si="3"/>
        <v>Ok</v>
      </c>
      <c r="AD115" s="72"/>
    </row>
    <row r="116" spans="1:30">
      <c r="A116" s="67"/>
      <c r="B116" s="68"/>
      <c r="C116" s="92"/>
      <c r="D116" s="68"/>
      <c r="E116" s="68"/>
      <c r="F116" s="68"/>
      <c r="G116" s="69"/>
      <c r="H116" s="69">
        <f t="shared" si="2"/>
        <v>-1534.8200000000045</v>
      </c>
      <c r="I116" s="74"/>
      <c r="J116" s="74"/>
      <c r="K116" s="70"/>
      <c r="L116" s="70"/>
      <c r="M116" s="70"/>
      <c r="N116" s="70"/>
      <c r="O116" s="70"/>
      <c r="P116" s="70"/>
      <c r="Q116" s="70"/>
      <c r="R116" s="70"/>
      <c r="S116" s="70"/>
      <c r="T116" s="70"/>
      <c r="U116" s="70"/>
      <c r="V116" s="70"/>
      <c r="W116" s="70"/>
      <c r="X116" s="70"/>
      <c r="Y116" s="70"/>
      <c r="Z116" s="70"/>
      <c r="AA116" s="70"/>
      <c r="AB116" s="28"/>
      <c r="AC116" s="323" t="str">
        <f t="shared" si="3"/>
        <v>Ok</v>
      </c>
      <c r="AD116" s="72"/>
    </row>
    <row r="117" spans="1:30">
      <c r="A117" s="67"/>
      <c r="B117" s="68"/>
      <c r="C117" s="92"/>
      <c r="D117" s="68"/>
      <c r="E117" s="68"/>
      <c r="F117" s="68"/>
      <c r="G117" s="69"/>
      <c r="H117" s="69">
        <f t="shared" si="2"/>
        <v>-1534.8200000000045</v>
      </c>
      <c r="I117" s="74"/>
      <c r="J117" s="74"/>
      <c r="K117" s="70"/>
      <c r="L117" s="70"/>
      <c r="M117" s="70"/>
      <c r="N117" s="70"/>
      <c r="O117" s="70"/>
      <c r="P117" s="70"/>
      <c r="Q117" s="70"/>
      <c r="R117" s="70"/>
      <c r="S117" s="70"/>
      <c r="T117" s="70"/>
      <c r="U117" s="70"/>
      <c r="V117" s="70"/>
      <c r="W117" s="70"/>
      <c r="X117" s="70"/>
      <c r="Y117" s="70"/>
      <c r="Z117" s="70"/>
      <c r="AA117" s="70"/>
      <c r="AB117" s="28"/>
      <c r="AC117" s="323" t="str">
        <f t="shared" si="3"/>
        <v>Ok</v>
      </c>
      <c r="AD117" s="72"/>
    </row>
    <row r="118" spans="1:30">
      <c r="A118" s="67"/>
      <c r="B118" s="68"/>
      <c r="C118" s="92"/>
      <c r="D118" s="68"/>
      <c r="E118" s="68"/>
      <c r="F118" s="68"/>
      <c r="G118" s="69"/>
      <c r="H118" s="69">
        <f t="shared" si="2"/>
        <v>-1534.8200000000045</v>
      </c>
      <c r="I118" s="74"/>
      <c r="J118" s="74"/>
      <c r="K118" s="70"/>
      <c r="L118" s="70"/>
      <c r="M118" s="70"/>
      <c r="N118" s="70"/>
      <c r="O118" s="70"/>
      <c r="P118" s="70"/>
      <c r="Q118" s="70"/>
      <c r="R118" s="70"/>
      <c r="S118" s="70"/>
      <c r="T118" s="70"/>
      <c r="U118" s="70"/>
      <c r="V118" s="70"/>
      <c r="W118" s="70"/>
      <c r="X118" s="70"/>
      <c r="Y118" s="70"/>
      <c r="Z118" s="70"/>
      <c r="AA118" s="70"/>
      <c r="AB118" s="28"/>
      <c r="AC118" s="323" t="str">
        <f t="shared" si="3"/>
        <v>Ok</v>
      </c>
      <c r="AD118" s="72"/>
    </row>
    <row r="119" spans="1:30">
      <c r="A119" s="67"/>
      <c r="B119" s="68"/>
      <c r="C119" s="92"/>
      <c r="D119" s="68"/>
      <c r="E119" s="68"/>
      <c r="F119" s="68"/>
      <c r="G119" s="69"/>
      <c r="H119" s="69">
        <f t="shared" si="2"/>
        <v>-1534.8200000000045</v>
      </c>
      <c r="I119" s="74"/>
      <c r="J119" s="74"/>
      <c r="K119" s="70"/>
      <c r="L119" s="70"/>
      <c r="M119" s="70"/>
      <c r="N119" s="70"/>
      <c r="O119" s="70"/>
      <c r="P119" s="70"/>
      <c r="Q119" s="70"/>
      <c r="R119" s="70"/>
      <c r="S119" s="70"/>
      <c r="T119" s="70"/>
      <c r="U119" s="70"/>
      <c r="V119" s="70"/>
      <c r="W119" s="70"/>
      <c r="X119" s="70"/>
      <c r="Y119" s="70"/>
      <c r="Z119" s="70"/>
      <c r="AA119" s="70"/>
      <c r="AB119" s="28"/>
      <c r="AC119" s="323" t="str">
        <f t="shared" si="3"/>
        <v>Ok</v>
      </c>
      <c r="AD119" s="72"/>
    </row>
    <row r="120" spans="1:30">
      <c r="A120" s="67"/>
      <c r="B120" s="68"/>
      <c r="C120" s="92"/>
      <c r="D120" s="68"/>
      <c r="E120" s="68"/>
      <c r="F120" s="68"/>
      <c r="G120" s="69"/>
      <c r="H120" s="69">
        <f t="shared" si="2"/>
        <v>-1534.8200000000045</v>
      </c>
      <c r="I120" s="74"/>
      <c r="J120" s="74"/>
      <c r="K120" s="74"/>
      <c r="L120" s="74"/>
      <c r="M120" s="70"/>
      <c r="N120" s="70"/>
      <c r="O120" s="70"/>
      <c r="P120" s="70"/>
      <c r="Q120" s="70"/>
      <c r="R120" s="70"/>
      <c r="S120" s="70"/>
      <c r="T120" s="70"/>
      <c r="U120" s="70"/>
      <c r="V120" s="70"/>
      <c r="W120" s="70"/>
      <c r="X120" s="70"/>
      <c r="Y120" s="70"/>
      <c r="Z120" s="70"/>
      <c r="AA120" s="70"/>
      <c r="AB120" s="28"/>
      <c r="AC120" s="323" t="str">
        <f t="shared" si="3"/>
        <v>Ok</v>
      </c>
      <c r="AD120" s="72"/>
    </row>
    <row r="121" spans="1:30">
      <c r="A121" s="67"/>
      <c r="B121" s="68"/>
      <c r="C121" s="92"/>
      <c r="D121" s="68"/>
      <c r="E121" s="68"/>
      <c r="F121" s="68"/>
      <c r="G121" s="69"/>
      <c r="H121" s="69">
        <f t="shared" si="2"/>
        <v>-1534.8200000000045</v>
      </c>
      <c r="I121" s="74"/>
      <c r="J121" s="74"/>
      <c r="K121" s="74"/>
      <c r="L121" s="74"/>
      <c r="M121" s="70"/>
      <c r="N121" s="70"/>
      <c r="O121" s="70"/>
      <c r="P121" s="70"/>
      <c r="Q121" s="70"/>
      <c r="R121" s="70"/>
      <c r="S121" s="70"/>
      <c r="T121" s="70"/>
      <c r="U121" s="70"/>
      <c r="V121" s="70"/>
      <c r="W121" s="70"/>
      <c r="X121" s="70"/>
      <c r="Y121" s="70"/>
      <c r="Z121" s="70"/>
      <c r="AA121" s="70"/>
      <c r="AB121" s="28"/>
      <c r="AC121" s="323" t="str">
        <f t="shared" si="3"/>
        <v>Ok</v>
      </c>
      <c r="AD121" s="72"/>
    </row>
    <row r="122" spans="1:30">
      <c r="A122" s="67"/>
      <c r="B122" s="68"/>
      <c r="C122" s="92"/>
      <c r="D122" s="68"/>
      <c r="E122" s="68"/>
      <c r="F122" s="68"/>
      <c r="G122" s="69"/>
      <c r="H122" s="69">
        <f t="shared" si="2"/>
        <v>-1534.8200000000045</v>
      </c>
      <c r="I122" s="74"/>
      <c r="J122" s="74"/>
      <c r="K122" s="74"/>
      <c r="L122" s="74"/>
      <c r="M122" s="70"/>
      <c r="N122" s="70"/>
      <c r="O122" s="70"/>
      <c r="P122" s="70"/>
      <c r="Q122" s="70"/>
      <c r="R122" s="70"/>
      <c r="S122" s="70"/>
      <c r="T122" s="70"/>
      <c r="U122" s="70"/>
      <c r="V122" s="70"/>
      <c r="W122" s="70"/>
      <c r="X122" s="70"/>
      <c r="Y122" s="70"/>
      <c r="Z122" s="70"/>
      <c r="AA122" s="70"/>
      <c r="AB122" s="28"/>
      <c r="AC122" s="323" t="str">
        <f t="shared" si="3"/>
        <v>Ok</v>
      </c>
      <c r="AD122" s="72"/>
    </row>
    <row r="123" spans="1:30">
      <c r="A123" s="67"/>
      <c r="B123" s="68"/>
      <c r="C123" s="92"/>
      <c r="D123" s="68"/>
      <c r="E123" s="68"/>
      <c r="F123" s="68"/>
      <c r="G123" s="69"/>
      <c r="H123" s="69">
        <f t="shared" si="2"/>
        <v>-1534.8200000000045</v>
      </c>
      <c r="I123" s="74"/>
      <c r="J123" s="74"/>
      <c r="K123" s="74"/>
      <c r="L123" s="74"/>
      <c r="M123" s="70"/>
      <c r="N123" s="70"/>
      <c r="O123" s="70"/>
      <c r="P123" s="70"/>
      <c r="Q123" s="70"/>
      <c r="R123" s="70"/>
      <c r="S123" s="70"/>
      <c r="T123" s="70"/>
      <c r="U123" s="70"/>
      <c r="V123" s="70"/>
      <c r="W123" s="70"/>
      <c r="X123" s="70"/>
      <c r="Y123" s="70"/>
      <c r="Z123" s="70"/>
      <c r="AA123" s="70"/>
      <c r="AB123" s="28"/>
      <c r="AC123" s="323" t="str">
        <f t="shared" si="3"/>
        <v>Ok</v>
      </c>
      <c r="AD123" s="72"/>
    </row>
    <row r="124" spans="1:30">
      <c r="A124" s="67"/>
      <c r="B124" s="68"/>
      <c r="C124" s="92"/>
      <c r="D124" s="68"/>
      <c r="E124" s="68"/>
      <c r="F124" s="68"/>
      <c r="G124" s="69"/>
      <c r="H124" s="69">
        <f t="shared" si="2"/>
        <v>-1534.8200000000045</v>
      </c>
      <c r="I124" s="74"/>
      <c r="J124" s="74"/>
      <c r="K124" s="74"/>
      <c r="L124" s="74"/>
      <c r="M124" s="70"/>
      <c r="N124" s="70"/>
      <c r="O124" s="70"/>
      <c r="P124" s="70"/>
      <c r="Q124" s="70"/>
      <c r="R124" s="70"/>
      <c r="S124" s="70"/>
      <c r="T124" s="70"/>
      <c r="U124" s="70"/>
      <c r="V124" s="70"/>
      <c r="W124" s="70"/>
      <c r="X124" s="70"/>
      <c r="Y124" s="70"/>
      <c r="Z124" s="70"/>
      <c r="AA124" s="70"/>
      <c r="AB124" s="28"/>
      <c r="AC124" s="323" t="str">
        <f t="shared" si="3"/>
        <v>Ok</v>
      </c>
      <c r="AD124" s="72"/>
    </row>
    <row r="125" spans="1:30">
      <c r="A125" s="67"/>
      <c r="B125" s="68"/>
      <c r="C125" s="92"/>
      <c r="D125" s="68"/>
      <c r="E125" s="68"/>
      <c r="F125" s="68"/>
      <c r="G125" s="69"/>
      <c r="H125" s="69">
        <f t="shared" si="2"/>
        <v>-1534.8200000000045</v>
      </c>
      <c r="I125" s="74"/>
      <c r="J125" s="74"/>
      <c r="K125" s="74"/>
      <c r="L125" s="74"/>
      <c r="M125" s="70"/>
      <c r="N125" s="70"/>
      <c r="O125" s="70"/>
      <c r="P125" s="70"/>
      <c r="Q125" s="70"/>
      <c r="R125" s="70"/>
      <c r="S125" s="70"/>
      <c r="T125" s="70"/>
      <c r="U125" s="70"/>
      <c r="V125" s="70"/>
      <c r="W125" s="70"/>
      <c r="X125" s="70"/>
      <c r="Y125" s="70"/>
      <c r="Z125" s="70"/>
      <c r="AA125" s="70"/>
      <c r="AB125" s="28"/>
      <c r="AC125" s="323" t="str">
        <f t="shared" si="3"/>
        <v>Ok</v>
      </c>
      <c r="AD125" s="72"/>
    </row>
    <row r="126" spans="1:30">
      <c r="A126" s="67"/>
      <c r="B126" s="68"/>
      <c r="C126" s="92"/>
      <c r="D126" s="68"/>
      <c r="E126" s="68"/>
      <c r="F126" s="68"/>
      <c r="G126" s="69"/>
      <c r="H126" s="69">
        <f t="shared" si="2"/>
        <v>-1534.8200000000045</v>
      </c>
      <c r="I126" s="74"/>
      <c r="J126" s="74"/>
      <c r="K126" s="74"/>
      <c r="L126" s="74"/>
      <c r="M126" s="70"/>
      <c r="N126" s="70"/>
      <c r="O126" s="70"/>
      <c r="P126" s="70"/>
      <c r="Q126" s="70"/>
      <c r="R126" s="70"/>
      <c r="S126" s="70"/>
      <c r="T126" s="70"/>
      <c r="U126" s="70"/>
      <c r="V126" s="70"/>
      <c r="W126" s="70"/>
      <c r="X126" s="70"/>
      <c r="Y126" s="70"/>
      <c r="Z126" s="70"/>
      <c r="AA126" s="70"/>
      <c r="AB126" s="28"/>
      <c r="AC126" s="323" t="str">
        <f t="shared" si="3"/>
        <v>Ok</v>
      </c>
      <c r="AD126" s="72"/>
    </row>
    <row r="127" spans="1:30">
      <c r="A127" s="67"/>
      <c r="B127" s="68"/>
      <c r="C127" s="92"/>
      <c r="D127" s="68"/>
      <c r="E127" s="68"/>
      <c r="F127" s="68"/>
      <c r="G127" s="69"/>
      <c r="H127" s="69">
        <f t="shared" si="2"/>
        <v>-1534.8200000000045</v>
      </c>
      <c r="I127" s="74"/>
      <c r="J127" s="74"/>
      <c r="K127" s="74"/>
      <c r="L127" s="74"/>
      <c r="M127" s="70"/>
      <c r="N127" s="70"/>
      <c r="O127" s="70"/>
      <c r="P127" s="70"/>
      <c r="Q127" s="70"/>
      <c r="R127" s="70"/>
      <c r="S127" s="70"/>
      <c r="T127" s="70"/>
      <c r="U127" s="70"/>
      <c r="V127" s="70"/>
      <c r="W127" s="70"/>
      <c r="X127" s="70"/>
      <c r="Y127" s="70"/>
      <c r="Z127" s="70"/>
      <c r="AA127" s="70"/>
      <c r="AB127" s="28"/>
      <c r="AC127" s="323" t="str">
        <f t="shared" si="3"/>
        <v>Ok</v>
      </c>
      <c r="AD127" s="72"/>
    </row>
    <row r="128" spans="1:30">
      <c r="A128" s="67"/>
      <c r="B128" s="68"/>
      <c r="C128" s="92"/>
      <c r="D128" s="68"/>
      <c r="E128" s="68"/>
      <c r="F128" s="68"/>
      <c r="G128" s="69"/>
      <c r="H128" s="69">
        <f t="shared" si="2"/>
        <v>-1534.8200000000045</v>
      </c>
      <c r="I128" s="74"/>
      <c r="J128" s="74"/>
      <c r="K128" s="74"/>
      <c r="L128" s="74"/>
      <c r="M128" s="70"/>
      <c r="N128" s="70"/>
      <c r="O128" s="70"/>
      <c r="P128" s="70"/>
      <c r="Q128" s="70"/>
      <c r="R128" s="70"/>
      <c r="S128" s="70"/>
      <c r="T128" s="70"/>
      <c r="U128" s="70"/>
      <c r="V128" s="70"/>
      <c r="W128" s="70"/>
      <c r="X128" s="70"/>
      <c r="Y128" s="70"/>
      <c r="Z128" s="70"/>
      <c r="AA128" s="70"/>
      <c r="AB128" s="28"/>
      <c r="AC128" s="323" t="str">
        <f t="shared" si="3"/>
        <v>Ok</v>
      </c>
      <c r="AD128" s="72"/>
    </row>
    <row r="129" spans="1:30">
      <c r="A129" s="67"/>
      <c r="B129" s="68"/>
      <c r="C129" s="92"/>
      <c r="D129" s="68"/>
      <c r="E129" s="68"/>
      <c r="F129" s="68"/>
      <c r="G129" s="69"/>
      <c r="H129" s="69">
        <f t="shared" si="2"/>
        <v>-1534.8200000000045</v>
      </c>
      <c r="I129" s="74"/>
      <c r="J129" s="74"/>
      <c r="K129" s="74"/>
      <c r="L129" s="74"/>
      <c r="M129" s="70"/>
      <c r="N129" s="70"/>
      <c r="O129" s="70"/>
      <c r="P129" s="70"/>
      <c r="Q129" s="70"/>
      <c r="R129" s="70"/>
      <c r="S129" s="70"/>
      <c r="T129" s="70"/>
      <c r="U129" s="70"/>
      <c r="V129" s="70"/>
      <c r="W129" s="70"/>
      <c r="X129" s="70"/>
      <c r="Y129" s="70"/>
      <c r="Z129" s="70"/>
      <c r="AA129" s="70"/>
      <c r="AB129" s="28"/>
      <c r="AC129" s="323" t="str">
        <f t="shared" si="3"/>
        <v>Ok</v>
      </c>
      <c r="AD129" s="72"/>
    </row>
    <row r="130" spans="1:30">
      <c r="A130" s="67"/>
      <c r="B130" s="68"/>
      <c r="C130" s="92"/>
      <c r="D130" s="68"/>
      <c r="E130" s="68"/>
      <c r="F130" s="68"/>
      <c r="G130" s="69"/>
      <c r="H130" s="69">
        <f t="shared" si="2"/>
        <v>-1534.8200000000045</v>
      </c>
      <c r="I130" s="74"/>
      <c r="J130" s="74"/>
      <c r="K130" s="74"/>
      <c r="L130" s="74"/>
      <c r="M130" s="70"/>
      <c r="N130" s="70"/>
      <c r="O130" s="70"/>
      <c r="P130" s="70"/>
      <c r="Q130" s="70"/>
      <c r="R130" s="70"/>
      <c r="S130" s="70"/>
      <c r="T130" s="70"/>
      <c r="U130" s="70"/>
      <c r="V130" s="70"/>
      <c r="W130" s="70"/>
      <c r="X130" s="70"/>
      <c r="Y130" s="70"/>
      <c r="Z130" s="70"/>
      <c r="AA130" s="70"/>
      <c r="AB130" s="28"/>
      <c r="AC130" s="323" t="str">
        <f t="shared" si="3"/>
        <v>Ok</v>
      </c>
      <c r="AD130" s="72"/>
    </row>
    <row r="131" spans="1:30">
      <c r="A131" s="67"/>
      <c r="B131" s="68"/>
      <c r="C131" s="92"/>
      <c r="D131" s="68"/>
      <c r="E131" s="68"/>
      <c r="F131" s="68"/>
      <c r="G131" s="69"/>
      <c r="H131" s="69">
        <f t="shared" si="2"/>
        <v>-1534.8200000000045</v>
      </c>
      <c r="I131" s="74"/>
      <c r="J131" s="74"/>
      <c r="K131" s="74"/>
      <c r="L131" s="74"/>
      <c r="M131" s="70"/>
      <c r="N131" s="70"/>
      <c r="O131" s="70"/>
      <c r="P131" s="70"/>
      <c r="Q131" s="70"/>
      <c r="R131" s="70"/>
      <c r="S131" s="70"/>
      <c r="T131" s="70"/>
      <c r="U131" s="70"/>
      <c r="V131" s="70"/>
      <c r="W131" s="70"/>
      <c r="X131" s="70"/>
      <c r="Y131" s="70"/>
      <c r="Z131" s="70"/>
      <c r="AA131" s="70"/>
      <c r="AB131" s="28"/>
      <c r="AC131" s="323" t="str">
        <f t="shared" si="3"/>
        <v>Ok</v>
      </c>
      <c r="AD131" s="72"/>
    </row>
    <row r="132" spans="1:30">
      <c r="A132" s="67"/>
      <c r="B132" s="68"/>
      <c r="C132" s="92"/>
      <c r="D132" s="68"/>
      <c r="E132" s="68"/>
      <c r="F132" s="68"/>
      <c r="G132" s="69"/>
      <c r="H132" s="69">
        <f t="shared" si="2"/>
        <v>-1534.8200000000045</v>
      </c>
      <c r="I132" s="74"/>
      <c r="J132" s="74"/>
      <c r="K132" s="74"/>
      <c r="L132" s="74"/>
      <c r="M132" s="70"/>
      <c r="N132" s="70"/>
      <c r="O132" s="70"/>
      <c r="P132" s="70"/>
      <c r="Q132" s="70"/>
      <c r="R132" s="70"/>
      <c r="S132" s="70"/>
      <c r="T132" s="70"/>
      <c r="U132" s="70"/>
      <c r="V132" s="70"/>
      <c r="W132" s="70"/>
      <c r="X132" s="70"/>
      <c r="Y132" s="70"/>
      <c r="Z132" s="70"/>
      <c r="AA132" s="70"/>
      <c r="AB132" s="28"/>
      <c r="AC132" s="323" t="str">
        <f t="shared" si="3"/>
        <v>Ok</v>
      </c>
      <c r="AD132" s="72"/>
    </row>
    <row r="133" spans="1:30">
      <c r="A133" s="67"/>
      <c r="B133" s="68"/>
      <c r="C133" s="92"/>
      <c r="D133" s="68"/>
      <c r="E133" s="68"/>
      <c r="F133" s="68"/>
      <c r="G133" s="69"/>
      <c r="H133" s="69">
        <f t="shared" ref="H133:H139" si="4">H132+IF(B133="Yes",G133,0)</f>
        <v>-1534.8200000000045</v>
      </c>
      <c r="I133" s="74"/>
      <c r="J133" s="74"/>
      <c r="K133" s="74"/>
      <c r="L133" s="74"/>
      <c r="M133" s="70"/>
      <c r="N133" s="70"/>
      <c r="O133" s="70"/>
      <c r="P133" s="70"/>
      <c r="Q133" s="70"/>
      <c r="R133" s="70"/>
      <c r="S133" s="70"/>
      <c r="T133" s="70"/>
      <c r="U133" s="70"/>
      <c r="V133" s="70"/>
      <c r="W133" s="70"/>
      <c r="X133" s="70"/>
      <c r="Y133" s="70"/>
      <c r="Z133" s="70"/>
      <c r="AA133" s="70"/>
      <c r="AB133" s="28"/>
      <c r="AC133" s="323" t="str">
        <f t="shared" si="3"/>
        <v>Ok</v>
      </c>
      <c r="AD133" s="72"/>
    </row>
    <row r="134" spans="1:30">
      <c r="A134" s="67"/>
      <c r="B134" s="68"/>
      <c r="C134" s="92"/>
      <c r="D134" s="68"/>
      <c r="E134" s="68"/>
      <c r="F134" s="68"/>
      <c r="G134" s="69"/>
      <c r="H134" s="69">
        <f t="shared" si="4"/>
        <v>-1534.8200000000045</v>
      </c>
      <c r="I134" s="74"/>
      <c r="J134" s="74"/>
      <c r="K134" s="74"/>
      <c r="L134" s="74"/>
      <c r="M134" s="70"/>
      <c r="N134" s="70"/>
      <c r="O134" s="70"/>
      <c r="P134" s="70"/>
      <c r="Q134" s="70"/>
      <c r="R134" s="70"/>
      <c r="S134" s="70"/>
      <c r="T134" s="70"/>
      <c r="U134" s="70"/>
      <c r="V134" s="70"/>
      <c r="W134" s="70"/>
      <c r="X134" s="70"/>
      <c r="Y134" s="70"/>
      <c r="Z134" s="70"/>
      <c r="AA134" s="70"/>
      <c r="AB134" s="28"/>
      <c r="AC134" s="323" t="str">
        <f t="shared" si="3"/>
        <v>Ok</v>
      </c>
      <c r="AD134" s="72"/>
    </row>
    <row r="135" spans="1:30">
      <c r="A135" s="67"/>
      <c r="B135" s="68"/>
      <c r="C135" s="92"/>
      <c r="D135" s="68"/>
      <c r="E135" s="68"/>
      <c r="F135" s="68"/>
      <c r="G135" s="69"/>
      <c r="H135" s="69">
        <f t="shared" si="4"/>
        <v>-1534.8200000000045</v>
      </c>
      <c r="I135" s="74"/>
      <c r="J135" s="74"/>
      <c r="K135" s="74"/>
      <c r="L135" s="74"/>
      <c r="M135" s="70"/>
      <c r="N135" s="70"/>
      <c r="O135" s="70"/>
      <c r="P135" s="70"/>
      <c r="Q135" s="70"/>
      <c r="R135" s="70"/>
      <c r="S135" s="70"/>
      <c r="T135" s="70"/>
      <c r="U135" s="70"/>
      <c r="V135" s="70"/>
      <c r="W135" s="70"/>
      <c r="X135" s="70"/>
      <c r="Y135" s="70"/>
      <c r="Z135" s="70"/>
      <c r="AA135" s="70"/>
      <c r="AB135" s="28"/>
      <c r="AC135" s="323" t="str">
        <f t="shared" si="3"/>
        <v>Ok</v>
      </c>
      <c r="AD135" s="72"/>
    </row>
    <row r="136" spans="1:30">
      <c r="A136" s="67"/>
      <c r="B136" s="68"/>
      <c r="C136" s="92"/>
      <c r="D136" s="68"/>
      <c r="E136" s="68"/>
      <c r="F136" s="68"/>
      <c r="G136" s="69"/>
      <c r="H136" s="69">
        <f t="shared" si="4"/>
        <v>-1534.8200000000045</v>
      </c>
      <c r="I136" s="74"/>
      <c r="J136" s="74"/>
      <c r="K136" s="74"/>
      <c r="L136" s="74"/>
      <c r="M136" s="70"/>
      <c r="N136" s="70"/>
      <c r="O136" s="70"/>
      <c r="P136" s="70"/>
      <c r="Q136" s="70"/>
      <c r="R136" s="70"/>
      <c r="S136" s="70"/>
      <c r="T136" s="70"/>
      <c r="U136" s="70"/>
      <c r="V136" s="70"/>
      <c r="W136" s="70"/>
      <c r="X136" s="70"/>
      <c r="Y136" s="70"/>
      <c r="Z136" s="70"/>
      <c r="AA136" s="70"/>
      <c r="AB136" s="28"/>
      <c r="AC136" s="323" t="str">
        <f t="shared" si="3"/>
        <v>Ok</v>
      </c>
      <c r="AD136" s="72"/>
    </row>
    <row r="137" spans="1:30">
      <c r="A137" s="67"/>
      <c r="B137" s="68"/>
      <c r="C137" s="92"/>
      <c r="D137" s="68"/>
      <c r="E137" s="68"/>
      <c r="F137" s="68"/>
      <c r="G137" s="69"/>
      <c r="H137" s="69">
        <f t="shared" si="4"/>
        <v>-1534.8200000000045</v>
      </c>
      <c r="I137" s="74"/>
      <c r="J137" s="74"/>
      <c r="K137" s="74"/>
      <c r="L137" s="74"/>
      <c r="M137" s="70"/>
      <c r="N137" s="70"/>
      <c r="O137" s="70"/>
      <c r="P137" s="70"/>
      <c r="Q137" s="70"/>
      <c r="R137" s="70"/>
      <c r="S137" s="70"/>
      <c r="T137" s="70"/>
      <c r="U137" s="70"/>
      <c r="V137" s="70"/>
      <c r="W137" s="70"/>
      <c r="X137" s="70"/>
      <c r="Y137" s="70"/>
      <c r="Z137" s="70"/>
      <c r="AA137" s="70"/>
      <c r="AB137" s="28"/>
      <c r="AC137" s="323" t="str">
        <f t="shared" si="3"/>
        <v>Ok</v>
      </c>
      <c r="AD137" s="72"/>
    </row>
    <row r="138" spans="1:30">
      <c r="A138" s="67"/>
      <c r="B138" s="68"/>
      <c r="C138" s="92"/>
      <c r="D138" s="68"/>
      <c r="E138" s="68"/>
      <c r="F138" s="68"/>
      <c r="G138" s="69"/>
      <c r="H138" s="69">
        <f t="shared" si="4"/>
        <v>-1534.8200000000045</v>
      </c>
      <c r="I138" s="74"/>
      <c r="J138" s="74"/>
      <c r="K138" s="74"/>
      <c r="L138" s="74"/>
      <c r="M138" s="70"/>
      <c r="N138" s="70"/>
      <c r="O138" s="70"/>
      <c r="P138" s="70"/>
      <c r="Q138" s="70"/>
      <c r="R138" s="70"/>
      <c r="S138" s="70"/>
      <c r="T138" s="70"/>
      <c r="U138" s="70"/>
      <c r="V138" s="70"/>
      <c r="W138" s="70"/>
      <c r="X138" s="70"/>
      <c r="Y138" s="70"/>
      <c r="Z138" s="70"/>
      <c r="AA138" s="70"/>
      <c r="AB138" s="28"/>
      <c r="AC138" s="323" t="str">
        <f t="shared" si="3"/>
        <v>Ok</v>
      </c>
      <c r="AD138" s="72"/>
    </row>
    <row r="139" spans="1:30">
      <c r="A139" s="67"/>
      <c r="B139" s="68"/>
      <c r="C139" s="92"/>
      <c r="D139" s="68"/>
      <c r="E139" s="68"/>
      <c r="F139" s="68"/>
      <c r="G139" s="69"/>
      <c r="H139" s="69">
        <f t="shared" si="4"/>
        <v>-1534.8200000000045</v>
      </c>
      <c r="I139" s="74"/>
      <c r="J139" s="74"/>
      <c r="K139" s="74"/>
      <c r="L139" s="74"/>
      <c r="M139" s="70"/>
      <c r="N139" s="70"/>
      <c r="O139" s="70"/>
      <c r="P139" s="70"/>
      <c r="Q139" s="70"/>
      <c r="R139" s="70"/>
      <c r="S139" s="70"/>
      <c r="T139" s="70"/>
      <c r="U139" s="70"/>
      <c r="V139" s="70"/>
      <c r="W139" s="70"/>
      <c r="X139" s="70"/>
      <c r="Y139" s="70"/>
      <c r="Z139" s="70"/>
      <c r="AA139" s="70"/>
      <c r="AB139" s="28"/>
      <c r="AC139" s="323" t="str">
        <f t="shared" si="3"/>
        <v>Ok</v>
      </c>
      <c r="AD139" s="72"/>
    </row>
    <row r="140" spans="1:30">
      <c r="A140" s="67"/>
      <c r="B140" s="68"/>
      <c r="C140" s="92"/>
      <c r="D140" s="68"/>
      <c r="E140" s="68"/>
      <c r="F140" s="68"/>
      <c r="G140" s="69"/>
      <c r="H140" s="69">
        <f t="shared" ref="H140:H200" si="5">H139+IF(B140="Yes",G140,0)</f>
        <v>-1534.8200000000045</v>
      </c>
      <c r="I140" s="74"/>
      <c r="J140" s="74"/>
      <c r="K140" s="74"/>
      <c r="L140" s="74"/>
      <c r="M140" s="70"/>
      <c r="N140" s="70"/>
      <c r="O140" s="70"/>
      <c r="P140" s="70"/>
      <c r="Q140" s="70"/>
      <c r="R140" s="70"/>
      <c r="S140" s="70"/>
      <c r="T140" s="70"/>
      <c r="U140" s="70"/>
      <c r="V140" s="70"/>
      <c r="W140" s="70"/>
      <c r="X140" s="70"/>
      <c r="Y140" s="70"/>
      <c r="Z140" s="70"/>
      <c r="AA140" s="70"/>
      <c r="AB140" s="28"/>
      <c r="AC140" s="323" t="str">
        <f t="shared" si="3"/>
        <v>Ok</v>
      </c>
      <c r="AD140" s="72"/>
    </row>
    <row r="141" spans="1:30">
      <c r="A141" s="67"/>
      <c r="B141" s="68"/>
      <c r="C141" s="92"/>
      <c r="D141" s="68"/>
      <c r="E141" s="68"/>
      <c r="F141" s="68"/>
      <c r="G141" s="69"/>
      <c r="H141" s="69">
        <f t="shared" si="5"/>
        <v>-1534.8200000000045</v>
      </c>
      <c r="I141" s="74"/>
      <c r="J141" s="74"/>
      <c r="K141" s="74"/>
      <c r="L141" s="74"/>
      <c r="M141" s="70"/>
      <c r="N141" s="70"/>
      <c r="O141" s="70"/>
      <c r="P141" s="70"/>
      <c r="Q141" s="70"/>
      <c r="R141" s="70"/>
      <c r="S141" s="70"/>
      <c r="T141" s="70"/>
      <c r="U141" s="70"/>
      <c r="V141" s="70"/>
      <c r="W141" s="70"/>
      <c r="X141" s="70"/>
      <c r="Y141" s="70"/>
      <c r="Z141" s="70"/>
      <c r="AA141" s="70"/>
      <c r="AB141" s="28"/>
      <c r="AC141" s="323" t="str">
        <f t="shared" ref="AC141:AC153" si="6">IF(SUM(I141:AA141)=G141,"Ok","Error")</f>
        <v>Ok</v>
      </c>
      <c r="AD141" s="72"/>
    </row>
    <row r="142" spans="1:30">
      <c r="A142" s="67"/>
      <c r="B142" s="68"/>
      <c r="C142" s="92"/>
      <c r="D142" s="68"/>
      <c r="E142" s="68"/>
      <c r="F142" s="68"/>
      <c r="G142" s="69"/>
      <c r="H142" s="69">
        <f t="shared" si="5"/>
        <v>-1534.8200000000045</v>
      </c>
      <c r="I142" s="74"/>
      <c r="J142" s="74"/>
      <c r="K142" s="74"/>
      <c r="L142" s="74"/>
      <c r="M142" s="70"/>
      <c r="N142" s="70"/>
      <c r="O142" s="70"/>
      <c r="P142" s="70"/>
      <c r="Q142" s="70"/>
      <c r="R142" s="70"/>
      <c r="S142" s="70"/>
      <c r="T142" s="70"/>
      <c r="U142" s="70"/>
      <c r="V142" s="70"/>
      <c r="W142" s="70"/>
      <c r="X142" s="70"/>
      <c r="Y142" s="70"/>
      <c r="Z142" s="70"/>
      <c r="AA142" s="70"/>
      <c r="AB142" s="28"/>
      <c r="AC142" s="323" t="str">
        <f t="shared" si="6"/>
        <v>Ok</v>
      </c>
      <c r="AD142" s="72"/>
    </row>
    <row r="143" spans="1:30">
      <c r="A143" s="67"/>
      <c r="B143" s="68"/>
      <c r="C143" s="92"/>
      <c r="D143" s="68"/>
      <c r="E143" s="68"/>
      <c r="F143" s="68"/>
      <c r="G143" s="69"/>
      <c r="H143" s="69">
        <f t="shared" si="5"/>
        <v>-1534.8200000000045</v>
      </c>
      <c r="I143" s="74"/>
      <c r="J143" s="74"/>
      <c r="K143" s="74"/>
      <c r="L143" s="74"/>
      <c r="M143" s="70"/>
      <c r="N143" s="70"/>
      <c r="O143" s="70"/>
      <c r="P143" s="70"/>
      <c r="Q143" s="70"/>
      <c r="R143" s="70"/>
      <c r="S143" s="70"/>
      <c r="T143" s="70"/>
      <c r="U143" s="70"/>
      <c r="V143" s="70"/>
      <c r="W143" s="70"/>
      <c r="X143" s="70"/>
      <c r="Y143" s="70"/>
      <c r="Z143" s="70"/>
      <c r="AA143" s="70"/>
      <c r="AB143" s="28"/>
      <c r="AC143" s="323" t="str">
        <f t="shared" si="6"/>
        <v>Ok</v>
      </c>
      <c r="AD143" s="72"/>
    </row>
    <row r="144" spans="1:30">
      <c r="A144" s="67"/>
      <c r="B144" s="68"/>
      <c r="C144" s="92"/>
      <c r="D144" s="68"/>
      <c r="E144" s="68"/>
      <c r="F144" s="68"/>
      <c r="G144" s="69"/>
      <c r="H144" s="69">
        <f t="shared" si="5"/>
        <v>-1534.8200000000045</v>
      </c>
      <c r="I144" s="74"/>
      <c r="J144" s="74"/>
      <c r="K144" s="74"/>
      <c r="L144" s="74"/>
      <c r="M144" s="70"/>
      <c r="N144" s="70"/>
      <c r="O144" s="70"/>
      <c r="P144" s="70"/>
      <c r="Q144" s="70"/>
      <c r="R144" s="70"/>
      <c r="S144" s="70"/>
      <c r="T144" s="70"/>
      <c r="U144" s="70"/>
      <c r="V144" s="70"/>
      <c r="W144" s="70"/>
      <c r="X144" s="70"/>
      <c r="Y144" s="70"/>
      <c r="Z144" s="70"/>
      <c r="AA144" s="70"/>
      <c r="AB144" s="28"/>
      <c r="AC144" s="323" t="str">
        <f t="shared" si="6"/>
        <v>Ok</v>
      </c>
      <c r="AD144" s="72"/>
    </row>
    <row r="145" spans="1:30">
      <c r="A145" s="67"/>
      <c r="B145" s="68"/>
      <c r="C145" s="92"/>
      <c r="D145" s="68"/>
      <c r="E145" s="68"/>
      <c r="F145" s="68"/>
      <c r="G145" s="69"/>
      <c r="H145" s="69">
        <f t="shared" si="5"/>
        <v>-1534.8200000000045</v>
      </c>
      <c r="I145" s="74"/>
      <c r="J145" s="74"/>
      <c r="K145" s="74"/>
      <c r="L145" s="74"/>
      <c r="M145" s="70"/>
      <c r="N145" s="70"/>
      <c r="O145" s="70"/>
      <c r="P145" s="70"/>
      <c r="Q145" s="70"/>
      <c r="R145" s="70"/>
      <c r="S145" s="70"/>
      <c r="T145" s="70"/>
      <c r="U145" s="70"/>
      <c r="V145" s="70"/>
      <c r="W145" s="70"/>
      <c r="X145" s="70"/>
      <c r="Y145" s="70"/>
      <c r="Z145" s="70"/>
      <c r="AA145" s="70"/>
      <c r="AB145" s="28"/>
      <c r="AC145" s="323" t="str">
        <f t="shared" si="6"/>
        <v>Ok</v>
      </c>
      <c r="AD145" s="72"/>
    </row>
    <row r="146" spans="1:30">
      <c r="A146" s="67"/>
      <c r="B146" s="68"/>
      <c r="C146" s="92"/>
      <c r="D146" s="68"/>
      <c r="E146" s="68"/>
      <c r="F146" s="68"/>
      <c r="G146" s="69"/>
      <c r="H146" s="69">
        <f t="shared" si="5"/>
        <v>-1534.8200000000045</v>
      </c>
      <c r="I146" s="74"/>
      <c r="J146" s="74"/>
      <c r="K146" s="74"/>
      <c r="L146" s="74"/>
      <c r="M146" s="70"/>
      <c r="N146" s="70"/>
      <c r="O146" s="70"/>
      <c r="P146" s="70"/>
      <c r="Q146" s="70"/>
      <c r="R146" s="70"/>
      <c r="S146" s="70"/>
      <c r="T146" s="70"/>
      <c r="U146" s="70"/>
      <c r="V146" s="70"/>
      <c r="W146" s="70"/>
      <c r="X146" s="70"/>
      <c r="Y146" s="70"/>
      <c r="Z146" s="70"/>
      <c r="AA146" s="70"/>
      <c r="AB146" s="28"/>
      <c r="AC146" s="323" t="str">
        <f t="shared" si="6"/>
        <v>Ok</v>
      </c>
      <c r="AD146" s="72"/>
    </row>
    <row r="147" spans="1:30">
      <c r="A147" s="67"/>
      <c r="B147" s="68"/>
      <c r="C147" s="92"/>
      <c r="D147" s="68"/>
      <c r="E147" s="68"/>
      <c r="F147" s="68"/>
      <c r="G147" s="69"/>
      <c r="H147" s="69">
        <f t="shared" si="5"/>
        <v>-1534.8200000000045</v>
      </c>
      <c r="I147" s="74"/>
      <c r="J147" s="74"/>
      <c r="K147" s="74"/>
      <c r="L147" s="74"/>
      <c r="M147" s="70"/>
      <c r="N147" s="70"/>
      <c r="O147" s="70"/>
      <c r="P147" s="70"/>
      <c r="Q147" s="70"/>
      <c r="R147" s="70"/>
      <c r="S147" s="70"/>
      <c r="T147" s="70"/>
      <c r="U147" s="70"/>
      <c r="V147" s="70"/>
      <c r="W147" s="70"/>
      <c r="X147" s="70"/>
      <c r="Y147" s="70"/>
      <c r="Z147" s="70"/>
      <c r="AA147" s="70"/>
      <c r="AB147" s="28"/>
      <c r="AC147" s="323" t="str">
        <f t="shared" si="6"/>
        <v>Ok</v>
      </c>
      <c r="AD147" s="72"/>
    </row>
    <row r="148" spans="1:30">
      <c r="A148" s="67"/>
      <c r="B148" s="68"/>
      <c r="C148" s="92"/>
      <c r="D148" s="68"/>
      <c r="E148" s="68"/>
      <c r="F148" s="68"/>
      <c r="G148" s="69"/>
      <c r="H148" s="69">
        <f t="shared" si="5"/>
        <v>-1534.8200000000045</v>
      </c>
      <c r="I148" s="74"/>
      <c r="J148" s="74"/>
      <c r="K148" s="74"/>
      <c r="L148" s="74"/>
      <c r="M148" s="70"/>
      <c r="N148" s="70"/>
      <c r="O148" s="70"/>
      <c r="P148" s="70"/>
      <c r="Q148" s="70"/>
      <c r="R148" s="70"/>
      <c r="S148" s="70"/>
      <c r="T148" s="70"/>
      <c r="U148" s="70"/>
      <c r="V148" s="70"/>
      <c r="W148" s="70"/>
      <c r="X148" s="70"/>
      <c r="Y148" s="70"/>
      <c r="Z148" s="70"/>
      <c r="AA148" s="70"/>
      <c r="AB148" s="28"/>
      <c r="AC148" s="323" t="str">
        <f t="shared" si="6"/>
        <v>Ok</v>
      </c>
      <c r="AD148" s="72"/>
    </row>
    <row r="149" spans="1:30">
      <c r="A149" s="67"/>
      <c r="B149" s="68"/>
      <c r="C149" s="92"/>
      <c r="D149" s="68"/>
      <c r="E149" s="68"/>
      <c r="F149" s="68"/>
      <c r="G149" s="69"/>
      <c r="H149" s="69">
        <f t="shared" si="5"/>
        <v>-1534.8200000000045</v>
      </c>
      <c r="I149" s="74"/>
      <c r="J149" s="74"/>
      <c r="K149" s="74"/>
      <c r="L149" s="74"/>
      <c r="M149" s="70"/>
      <c r="N149" s="70"/>
      <c r="O149" s="70"/>
      <c r="P149" s="70"/>
      <c r="Q149" s="70"/>
      <c r="R149" s="70"/>
      <c r="S149" s="70"/>
      <c r="T149" s="70"/>
      <c r="U149" s="70"/>
      <c r="V149" s="70"/>
      <c r="W149" s="70"/>
      <c r="X149" s="70"/>
      <c r="Y149" s="70"/>
      <c r="Z149" s="70"/>
      <c r="AA149" s="70"/>
      <c r="AB149" s="28"/>
      <c r="AC149" s="323" t="str">
        <f t="shared" si="6"/>
        <v>Ok</v>
      </c>
      <c r="AD149" s="72"/>
    </row>
    <row r="150" spans="1:30">
      <c r="A150" s="67"/>
      <c r="B150" s="68"/>
      <c r="C150" s="92"/>
      <c r="D150" s="68"/>
      <c r="E150" s="68"/>
      <c r="F150" s="68"/>
      <c r="G150" s="69"/>
      <c r="H150" s="69">
        <f t="shared" si="5"/>
        <v>-1534.8200000000045</v>
      </c>
      <c r="I150" s="74"/>
      <c r="J150" s="74"/>
      <c r="K150" s="74"/>
      <c r="L150" s="74"/>
      <c r="M150" s="70"/>
      <c r="N150" s="70"/>
      <c r="O150" s="70"/>
      <c r="P150" s="70"/>
      <c r="Q150" s="70"/>
      <c r="R150" s="70"/>
      <c r="S150" s="70"/>
      <c r="T150" s="70"/>
      <c r="U150" s="70"/>
      <c r="V150" s="70"/>
      <c r="W150" s="70"/>
      <c r="X150" s="70"/>
      <c r="Y150" s="70"/>
      <c r="Z150" s="70"/>
      <c r="AA150" s="70"/>
      <c r="AB150" s="28"/>
      <c r="AC150" s="323" t="str">
        <f t="shared" si="6"/>
        <v>Ok</v>
      </c>
      <c r="AD150" s="72"/>
    </row>
    <row r="151" spans="1:30">
      <c r="A151" s="67"/>
      <c r="B151" s="68"/>
      <c r="C151" s="92"/>
      <c r="D151" s="68"/>
      <c r="E151" s="68"/>
      <c r="F151" s="68"/>
      <c r="G151" s="69"/>
      <c r="H151" s="69">
        <f t="shared" si="5"/>
        <v>-1534.8200000000045</v>
      </c>
      <c r="I151" s="74"/>
      <c r="J151" s="74"/>
      <c r="K151" s="74"/>
      <c r="L151" s="74"/>
      <c r="M151" s="70"/>
      <c r="N151" s="70"/>
      <c r="O151" s="70"/>
      <c r="P151" s="70"/>
      <c r="Q151" s="70"/>
      <c r="R151" s="70"/>
      <c r="S151" s="70"/>
      <c r="T151" s="70"/>
      <c r="U151" s="70"/>
      <c r="V151" s="70"/>
      <c r="W151" s="70"/>
      <c r="X151" s="70"/>
      <c r="Y151" s="70"/>
      <c r="Z151" s="70"/>
      <c r="AA151" s="70"/>
      <c r="AB151" s="28"/>
      <c r="AC151" s="323" t="str">
        <f t="shared" si="6"/>
        <v>Ok</v>
      </c>
      <c r="AD151" s="72"/>
    </row>
    <row r="152" spans="1:30">
      <c r="A152" s="67"/>
      <c r="B152" s="68"/>
      <c r="C152" s="92"/>
      <c r="D152" s="68"/>
      <c r="E152" s="68"/>
      <c r="F152" s="68"/>
      <c r="G152" s="69"/>
      <c r="H152" s="69">
        <f t="shared" si="5"/>
        <v>-1534.8200000000045</v>
      </c>
      <c r="I152" s="74"/>
      <c r="J152" s="74"/>
      <c r="K152" s="74"/>
      <c r="L152" s="74"/>
      <c r="M152" s="70"/>
      <c r="N152" s="70"/>
      <c r="O152" s="70"/>
      <c r="P152" s="70"/>
      <c r="Q152" s="70"/>
      <c r="R152" s="70"/>
      <c r="S152" s="70"/>
      <c r="T152" s="70"/>
      <c r="U152" s="70"/>
      <c r="V152" s="70"/>
      <c r="W152" s="70"/>
      <c r="X152" s="70"/>
      <c r="Y152" s="70"/>
      <c r="Z152" s="70"/>
      <c r="AA152" s="70"/>
      <c r="AB152" s="28"/>
      <c r="AC152" s="323" t="str">
        <f t="shared" si="6"/>
        <v>Ok</v>
      </c>
      <c r="AD152" s="72"/>
    </row>
    <row r="153" spans="1:30">
      <c r="A153" s="67"/>
      <c r="B153" s="68"/>
      <c r="C153" s="92"/>
      <c r="D153" s="68"/>
      <c r="E153" s="68"/>
      <c r="F153" s="68"/>
      <c r="G153" s="69"/>
      <c r="H153" s="69">
        <f t="shared" si="5"/>
        <v>-1534.8200000000045</v>
      </c>
      <c r="I153" s="74"/>
      <c r="J153" s="74"/>
      <c r="K153" s="74"/>
      <c r="L153" s="74"/>
      <c r="M153" s="70"/>
      <c r="N153" s="70"/>
      <c r="O153" s="70"/>
      <c r="P153" s="70"/>
      <c r="Q153" s="70"/>
      <c r="R153" s="70"/>
      <c r="S153" s="70"/>
      <c r="T153" s="70"/>
      <c r="U153" s="70"/>
      <c r="V153" s="70"/>
      <c r="W153" s="70"/>
      <c r="X153" s="70"/>
      <c r="Y153" s="70"/>
      <c r="Z153" s="70"/>
      <c r="AA153" s="70"/>
      <c r="AB153" s="28"/>
      <c r="AC153" s="323" t="str">
        <f t="shared" si="6"/>
        <v>Ok</v>
      </c>
      <c r="AD153" s="72"/>
    </row>
    <row r="154" spans="1:30">
      <c r="A154" s="67"/>
      <c r="B154" s="68"/>
      <c r="C154" s="92"/>
      <c r="D154" s="68"/>
      <c r="E154" s="68"/>
      <c r="F154" s="68"/>
      <c r="G154" s="69"/>
      <c r="H154" s="69">
        <f t="shared" si="5"/>
        <v>-1534.8200000000045</v>
      </c>
      <c r="I154" s="74"/>
      <c r="J154" s="74"/>
      <c r="K154" s="74"/>
      <c r="L154" s="74"/>
      <c r="M154" s="70"/>
      <c r="N154" s="70"/>
      <c r="O154" s="70"/>
      <c r="P154" s="70"/>
      <c r="Q154" s="70"/>
      <c r="R154" s="70"/>
      <c r="S154" s="70"/>
      <c r="T154" s="70"/>
      <c r="U154" s="70"/>
      <c r="V154" s="70"/>
      <c r="W154" s="70"/>
      <c r="X154" s="70"/>
      <c r="Y154" s="70"/>
      <c r="Z154" s="70"/>
      <c r="AA154" s="70"/>
      <c r="AB154" s="28"/>
      <c r="AC154" s="323" t="str">
        <f t="shared" ref="AC154:AC209" si="7">IF(SUM(I154:AA154)=G154,"Ok","Error")</f>
        <v>Ok</v>
      </c>
      <c r="AD154" s="72"/>
    </row>
    <row r="155" spans="1:30">
      <c r="A155" s="67"/>
      <c r="B155" s="68"/>
      <c r="C155" s="92"/>
      <c r="D155" s="68"/>
      <c r="E155" s="68"/>
      <c r="F155" s="68"/>
      <c r="G155" s="69"/>
      <c r="H155" s="69">
        <f t="shared" si="5"/>
        <v>-1534.8200000000045</v>
      </c>
      <c r="I155" s="74"/>
      <c r="J155" s="74"/>
      <c r="K155" s="74"/>
      <c r="L155" s="74"/>
      <c r="M155" s="70"/>
      <c r="N155" s="70"/>
      <c r="O155" s="70"/>
      <c r="P155" s="70"/>
      <c r="Q155" s="70"/>
      <c r="R155" s="70"/>
      <c r="S155" s="70"/>
      <c r="T155" s="70"/>
      <c r="U155" s="70"/>
      <c r="V155" s="70"/>
      <c r="W155" s="70"/>
      <c r="X155" s="70"/>
      <c r="Y155" s="70"/>
      <c r="Z155" s="70"/>
      <c r="AA155" s="70"/>
      <c r="AB155" s="28"/>
      <c r="AC155" s="323" t="str">
        <f t="shared" si="7"/>
        <v>Ok</v>
      </c>
      <c r="AD155" s="72"/>
    </row>
    <row r="156" spans="1:30">
      <c r="A156" s="67"/>
      <c r="B156" s="68"/>
      <c r="C156" s="92"/>
      <c r="D156" s="68"/>
      <c r="E156" s="68"/>
      <c r="F156" s="68"/>
      <c r="G156" s="69"/>
      <c r="H156" s="69">
        <f t="shared" si="5"/>
        <v>-1534.8200000000045</v>
      </c>
      <c r="I156" s="74"/>
      <c r="J156" s="74"/>
      <c r="K156" s="74"/>
      <c r="L156" s="74"/>
      <c r="M156" s="70"/>
      <c r="N156" s="70"/>
      <c r="O156" s="70"/>
      <c r="P156" s="70"/>
      <c r="Q156" s="70"/>
      <c r="R156" s="70"/>
      <c r="S156" s="70"/>
      <c r="T156" s="70"/>
      <c r="U156" s="70"/>
      <c r="V156" s="70"/>
      <c r="W156" s="70"/>
      <c r="X156" s="70"/>
      <c r="Y156" s="70"/>
      <c r="Z156" s="70"/>
      <c r="AA156" s="70"/>
      <c r="AB156" s="28"/>
      <c r="AC156" s="323" t="str">
        <f t="shared" si="7"/>
        <v>Ok</v>
      </c>
      <c r="AD156" s="72"/>
    </row>
    <row r="157" spans="1:30">
      <c r="A157" s="67"/>
      <c r="B157" s="68"/>
      <c r="C157" s="92"/>
      <c r="D157" s="68"/>
      <c r="E157" s="68"/>
      <c r="F157" s="68"/>
      <c r="G157" s="69"/>
      <c r="H157" s="69">
        <f t="shared" si="5"/>
        <v>-1534.8200000000045</v>
      </c>
      <c r="I157" s="74"/>
      <c r="J157" s="74"/>
      <c r="K157" s="74"/>
      <c r="L157" s="74"/>
      <c r="M157" s="70"/>
      <c r="N157" s="70"/>
      <c r="O157" s="70"/>
      <c r="P157" s="70"/>
      <c r="Q157" s="70"/>
      <c r="R157" s="70"/>
      <c r="S157" s="70"/>
      <c r="T157" s="70"/>
      <c r="U157" s="70"/>
      <c r="V157" s="70"/>
      <c r="W157" s="70"/>
      <c r="X157" s="70"/>
      <c r="Y157" s="70"/>
      <c r="Z157" s="70"/>
      <c r="AA157" s="70"/>
      <c r="AB157" s="28"/>
      <c r="AC157" s="323" t="str">
        <f t="shared" si="7"/>
        <v>Ok</v>
      </c>
      <c r="AD157" s="72"/>
    </row>
    <row r="158" spans="1:30">
      <c r="A158" s="67"/>
      <c r="B158" s="68"/>
      <c r="C158" s="92"/>
      <c r="D158" s="68"/>
      <c r="E158" s="68"/>
      <c r="F158" s="68"/>
      <c r="G158" s="69"/>
      <c r="H158" s="69">
        <f t="shared" si="5"/>
        <v>-1534.8200000000045</v>
      </c>
      <c r="I158" s="74"/>
      <c r="J158" s="74"/>
      <c r="K158" s="74"/>
      <c r="L158" s="74"/>
      <c r="M158" s="70"/>
      <c r="N158" s="70"/>
      <c r="O158" s="70"/>
      <c r="P158" s="70"/>
      <c r="Q158" s="70"/>
      <c r="R158" s="70"/>
      <c r="S158" s="70"/>
      <c r="T158" s="70"/>
      <c r="U158" s="70"/>
      <c r="V158" s="70"/>
      <c r="W158" s="70"/>
      <c r="X158" s="70"/>
      <c r="Y158" s="70"/>
      <c r="Z158" s="70"/>
      <c r="AA158" s="70"/>
      <c r="AB158" s="28"/>
      <c r="AC158" s="323" t="str">
        <f t="shared" si="7"/>
        <v>Ok</v>
      </c>
      <c r="AD158" s="72"/>
    </row>
    <row r="159" spans="1:30">
      <c r="A159" s="67"/>
      <c r="B159" s="68"/>
      <c r="C159" s="92"/>
      <c r="D159" s="68"/>
      <c r="E159" s="68"/>
      <c r="F159" s="68"/>
      <c r="G159" s="69"/>
      <c r="H159" s="69">
        <f t="shared" si="5"/>
        <v>-1534.8200000000045</v>
      </c>
      <c r="I159" s="74"/>
      <c r="J159" s="74"/>
      <c r="K159" s="74"/>
      <c r="L159" s="74"/>
      <c r="M159" s="70"/>
      <c r="N159" s="70"/>
      <c r="O159" s="70"/>
      <c r="P159" s="70"/>
      <c r="Q159" s="70"/>
      <c r="R159" s="70"/>
      <c r="S159" s="70"/>
      <c r="T159" s="70"/>
      <c r="U159" s="70"/>
      <c r="V159" s="70"/>
      <c r="W159" s="70"/>
      <c r="X159" s="70"/>
      <c r="Y159" s="70"/>
      <c r="Z159" s="70"/>
      <c r="AA159" s="70"/>
      <c r="AB159" s="28"/>
      <c r="AC159" s="323" t="str">
        <f t="shared" si="7"/>
        <v>Ok</v>
      </c>
      <c r="AD159" s="72"/>
    </row>
    <row r="160" spans="1:30">
      <c r="A160" s="67"/>
      <c r="B160" s="68"/>
      <c r="C160" s="92"/>
      <c r="D160" s="68"/>
      <c r="E160" s="68"/>
      <c r="F160" s="68"/>
      <c r="G160" s="69"/>
      <c r="H160" s="69">
        <f t="shared" si="5"/>
        <v>-1534.8200000000045</v>
      </c>
      <c r="I160" s="74"/>
      <c r="J160" s="74"/>
      <c r="K160" s="74"/>
      <c r="L160" s="74"/>
      <c r="M160" s="70"/>
      <c r="N160" s="70"/>
      <c r="O160" s="70"/>
      <c r="P160" s="70"/>
      <c r="Q160" s="70"/>
      <c r="R160" s="70"/>
      <c r="S160" s="70"/>
      <c r="T160" s="70"/>
      <c r="U160" s="70"/>
      <c r="V160" s="70"/>
      <c r="W160" s="70"/>
      <c r="X160" s="70"/>
      <c r="Y160" s="70"/>
      <c r="Z160" s="70"/>
      <c r="AA160" s="70"/>
      <c r="AB160" s="28"/>
      <c r="AC160" s="323" t="str">
        <f t="shared" si="7"/>
        <v>Ok</v>
      </c>
      <c r="AD160" s="72"/>
    </row>
    <row r="161" spans="1:30">
      <c r="A161" s="67"/>
      <c r="B161" s="68"/>
      <c r="C161" s="92"/>
      <c r="D161" s="68"/>
      <c r="E161" s="68"/>
      <c r="F161" s="68"/>
      <c r="G161" s="69"/>
      <c r="H161" s="69">
        <f t="shared" si="5"/>
        <v>-1534.8200000000045</v>
      </c>
      <c r="I161" s="74"/>
      <c r="J161" s="74"/>
      <c r="K161" s="74"/>
      <c r="L161" s="74"/>
      <c r="M161" s="70"/>
      <c r="N161" s="70"/>
      <c r="O161" s="70"/>
      <c r="P161" s="70"/>
      <c r="Q161" s="70"/>
      <c r="R161" s="70"/>
      <c r="S161" s="70"/>
      <c r="T161" s="70"/>
      <c r="U161" s="70"/>
      <c r="V161" s="70"/>
      <c r="W161" s="70"/>
      <c r="X161" s="70"/>
      <c r="Y161" s="70"/>
      <c r="Z161" s="70"/>
      <c r="AA161" s="70"/>
      <c r="AB161" s="28"/>
      <c r="AC161" s="323" t="str">
        <f t="shared" si="7"/>
        <v>Ok</v>
      </c>
      <c r="AD161" s="72"/>
    </row>
    <row r="162" spans="1:30">
      <c r="A162" s="67"/>
      <c r="B162" s="68"/>
      <c r="C162" s="92"/>
      <c r="D162" s="68"/>
      <c r="E162" s="68"/>
      <c r="F162" s="68"/>
      <c r="G162" s="69"/>
      <c r="H162" s="69">
        <f t="shared" si="5"/>
        <v>-1534.8200000000045</v>
      </c>
      <c r="I162" s="74"/>
      <c r="J162" s="74"/>
      <c r="K162" s="74"/>
      <c r="L162" s="74"/>
      <c r="M162" s="70"/>
      <c r="N162" s="70"/>
      <c r="O162" s="70"/>
      <c r="P162" s="70"/>
      <c r="Q162" s="70"/>
      <c r="R162" s="70"/>
      <c r="S162" s="70"/>
      <c r="T162" s="70"/>
      <c r="U162" s="70"/>
      <c r="V162" s="70"/>
      <c r="W162" s="70"/>
      <c r="X162" s="70"/>
      <c r="Y162" s="70"/>
      <c r="Z162" s="70"/>
      <c r="AA162" s="70"/>
      <c r="AB162" s="28"/>
      <c r="AC162" s="323" t="str">
        <f t="shared" si="7"/>
        <v>Ok</v>
      </c>
      <c r="AD162" s="72"/>
    </row>
    <row r="163" spans="1:30">
      <c r="A163" s="67"/>
      <c r="B163" s="68"/>
      <c r="C163" s="92"/>
      <c r="D163" s="68"/>
      <c r="E163" s="68"/>
      <c r="F163" s="68"/>
      <c r="G163" s="69"/>
      <c r="H163" s="69">
        <f t="shared" si="5"/>
        <v>-1534.8200000000045</v>
      </c>
      <c r="I163" s="74"/>
      <c r="J163" s="74"/>
      <c r="K163" s="74"/>
      <c r="L163" s="74"/>
      <c r="M163" s="70"/>
      <c r="N163" s="70"/>
      <c r="O163" s="70"/>
      <c r="P163" s="70"/>
      <c r="Q163" s="70"/>
      <c r="R163" s="70"/>
      <c r="S163" s="70"/>
      <c r="T163" s="70"/>
      <c r="U163" s="70"/>
      <c r="V163" s="70"/>
      <c r="W163" s="70"/>
      <c r="X163" s="70"/>
      <c r="Y163" s="70"/>
      <c r="Z163" s="70"/>
      <c r="AA163" s="70"/>
      <c r="AB163" s="28"/>
      <c r="AC163" s="323" t="str">
        <f t="shared" si="7"/>
        <v>Ok</v>
      </c>
      <c r="AD163" s="72"/>
    </row>
    <row r="164" spans="1:30">
      <c r="A164" s="67"/>
      <c r="B164" s="68"/>
      <c r="C164" s="92"/>
      <c r="D164" s="68"/>
      <c r="E164" s="68"/>
      <c r="F164" s="68"/>
      <c r="G164" s="69"/>
      <c r="H164" s="69">
        <f t="shared" si="5"/>
        <v>-1534.8200000000045</v>
      </c>
      <c r="I164" s="74"/>
      <c r="J164" s="74"/>
      <c r="K164" s="74"/>
      <c r="L164" s="74"/>
      <c r="M164" s="70"/>
      <c r="N164" s="70"/>
      <c r="O164" s="70"/>
      <c r="P164" s="70"/>
      <c r="Q164" s="70"/>
      <c r="R164" s="70"/>
      <c r="S164" s="70"/>
      <c r="T164" s="70"/>
      <c r="U164" s="70"/>
      <c r="V164" s="70"/>
      <c r="W164" s="70"/>
      <c r="X164" s="70"/>
      <c r="Y164" s="70"/>
      <c r="Z164" s="70"/>
      <c r="AA164" s="70"/>
      <c r="AB164" s="28"/>
      <c r="AC164" s="323" t="str">
        <f t="shared" si="7"/>
        <v>Ok</v>
      </c>
      <c r="AD164" s="72"/>
    </row>
    <row r="165" spans="1:30">
      <c r="A165" s="67"/>
      <c r="B165" s="68"/>
      <c r="C165" s="92"/>
      <c r="D165" s="68"/>
      <c r="E165" s="68"/>
      <c r="F165" s="68"/>
      <c r="G165" s="69"/>
      <c r="H165" s="69">
        <f t="shared" si="5"/>
        <v>-1534.8200000000045</v>
      </c>
      <c r="I165" s="74"/>
      <c r="J165" s="74"/>
      <c r="K165" s="74"/>
      <c r="L165" s="74"/>
      <c r="M165" s="70"/>
      <c r="N165" s="70"/>
      <c r="O165" s="70"/>
      <c r="P165" s="70"/>
      <c r="Q165" s="70"/>
      <c r="R165" s="70"/>
      <c r="S165" s="70"/>
      <c r="T165" s="70"/>
      <c r="U165" s="70"/>
      <c r="V165" s="70"/>
      <c r="W165" s="70"/>
      <c r="X165" s="70"/>
      <c r="Y165" s="70"/>
      <c r="Z165" s="70"/>
      <c r="AA165" s="70"/>
      <c r="AB165" s="28"/>
      <c r="AC165" s="323" t="str">
        <f t="shared" si="7"/>
        <v>Ok</v>
      </c>
      <c r="AD165" s="72"/>
    </row>
    <row r="166" spans="1:30">
      <c r="A166" s="67"/>
      <c r="B166" s="68"/>
      <c r="C166" s="92"/>
      <c r="D166" s="68"/>
      <c r="E166" s="68"/>
      <c r="F166" s="68"/>
      <c r="G166" s="69"/>
      <c r="H166" s="69">
        <f t="shared" si="5"/>
        <v>-1534.8200000000045</v>
      </c>
      <c r="I166" s="74"/>
      <c r="J166" s="74"/>
      <c r="K166" s="74"/>
      <c r="L166" s="74"/>
      <c r="M166" s="70"/>
      <c r="N166" s="70"/>
      <c r="O166" s="70"/>
      <c r="P166" s="70"/>
      <c r="Q166" s="70"/>
      <c r="R166" s="70"/>
      <c r="S166" s="70"/>
      <c r="T166" s="70"/>
      <c r="U166" s="70"/>
      <c r="V166" s="70"/>
      <c r="W166" s="70"/>
      <c r="X166" s="70"/>
      <c r="Y166" s="70"/>
      <c r="Z166" s="70"/>
      <c r="AA166" s="70"/>
      <c r="AB166" s="28"/>
      <c r="AC166" s="323" t="str">
        <f t="shared" si="7"/>
        <v>Ok</v>
      </c>
      <c r="AD166" s="72"/>
    </row>
    <row r="167" spans="1:30">
      <c r="A167" s="67"/>
      <c r="B167" s="68"/>
      <c r="C167" s="92"/>
      <c r="D167" s="68"/>
      <c r="E167" s="68"/>
      <c r="F167" s="68"/>
      <c r="G167" s="69"/>
      <c r="H167" s="69">
        <f t="shared" si="5"/>
        <v>-1534.8200000000045</v>
      </c>
      <c r="I167" s="74"/>
      <c r="J167" s="74"/>
      <c r="K167" s="74"/>
      <c r="L167" s="74"/>
      <c r="M167" s="70"/>
      <c r="N167" s="70"/>
      <c r="O167" s="70"/>
      <c r="P167" s="70"/>
      <c r="Q167" s="70"/>
      <c r="R167" s="70"/>
      <c r="S167" s="70"/>
      <c r="T167" s="70"/>
      <c r="U167" s="70"/>
      <c r="V167" s="70"/>
      <c r="W167" s="70"/>
      <c r="X167" s="70"/>
      <c r="Y167" s="70"/>
      <c r="Z167" s="70"/>
      <c r="AA167" s="70"/>
      <c r="AB167" s="28"/>
      <c r="AC167" s="323" t="str">
        <f t="shared" si="7"/>
        <v>Ok</v>
      </c>
      <c r="AD167" s="72"/>
    </row>
    <row r="168" spans="1:30">
      <c r="A168" s="67"/>
      <c r="B168" s="68"/>
      <c r="C168" s="92"/>
      <c r="D168" s="68"/>
      <c r="E168" s="68"/>
      <c r="F168" s="68"/>
      <c r="G168" s="69"/>
      <c r="H168" s="69">
        <f t="shared" si="5"/>
        <v>-1534.8200000000045</v>
      </c>
      <c r="I168" s="74"/>
      <c r="J168" s="74"/>
      <c r="K168" s="74"/>
      <c r="L168" s="74"/>
      <c r="M168" s="70"/>
      <c r="N168" s="70"/>
      <c r="O168" s="70"/>
      <c r="P168" s="70"/>
      <c r="Q168" s="70"/>
      <c r="R168" s="70"/>
      <c r="S168" s="70"/>
      <c r="T168" s="70"/>
      <c r="U168" s="70"/>
      <c r="V168" s="70"/>
      <c r="W168" s="70"/>
      <c r="X168" s="70"/>
      <c r="Y168" s="70"/>
      <c r="Z168" s="70"/>
      <c r="AA168" s="70"/>
      <c r="AB168" s="28"/>
      <c r="AC168" s="323" t="str">
        <f t="shared" si="7"/>
        <v>Ok</v>
      </c>
      <c r="AD168" s="72"/>
    </row>
    <row r="169" spans="1:30">
      <c r="A169" s="67"/>
      <c r="B169" s="68"/>
      <c r="C169" s="92"/>
      <c r="D169" s="68"/>
      <c r="E169" s="68"/>
      <c r="F169" s="68"/>
      <c r="G169" s="69"/>
      <c r="H169" s="69">
        <f t="shared" si="5"/>
        <v>-1534.8200000000045</v>
      </c>
      <c r="I169" s="74"/>
      <c r="J169" s="74"/>
      <c r="K169" s="74"/>
      <c r="L169" s="74"/>
      <c r="M169" s="70"/>
      <c r="N169" s="70"/>
      <c r="O169" s="70"/>
      <c r="P169" s="70"/>
      <c r="Q169" s="70"/>
      <c r="R169" s="70"/>
      <c r="S169" s="70"/>
      <c r="T169" s="70"/>
      <c r="U169" s="70"/>
      <c r="V169" s="70"/>
      <c r="W169" s="70"/>
      <c r="X169" s="70"/>
      <c r="Y169" s="70"/>
      <c r="Z169" s="70"/>
      <c r="AA169" s="70"/>
      <c r="AB169" s="28"/>
      <c r="AC169" s="323" t="str">
        <f t="shared" si="7"/>
        <v>Ok</v>
      </c>
      <c r="AD169" s="72"/>
    </row>
    <row r="170" spans="1:30">
      <c r="A170" s="67"/>
      <c r="B170" s="68"/>
      <c r="C170" s="92"/>
      <c r="D170" s="68"/>
      <c r="E170" s="68"/>
      <c r="F170" s="68"/>
      <c r="G170" s="69"/>
      <c r="H170" s="69">
        <f t="shared" si="5"/>
        <v>-1534.8200000000045</v>
      </c>
      <c r="I170" s="74"/>
      <c r="J170" s="74"/>
      <c r="K170" s="74"/>
      <c r="L170" s="74"/>
      <c r="M170" s="70"/>
      <c r="N170" s="70"/>
      <c r="O170" s="70"/>
      <c r="P170" s="70"/>
      <c r="Q170" s="70"/>
      <c r="R170" s="70"/>
      <c r="S170" s="70"/>
      <c r="T170" s="70"/>
      <c r="U170" s="70"/>
      <c r="V170" s="70"/>
      <c r="W170" s="70"/>
      <c r="X170" s="70"/>
      <c r="Y170" s="70"/>
      <c r="Z170" s="70"/>
      <c r="AA170" s="70"/>
      <c r="AB170" s="28"/>
      <c r="AC170" s="323" t="str">
        <f t="shared" si="7"/>
        <v>Ok</v>
      </c>
      <c r="AD170" s="72"/>
    </row>
    <row r="171" spans="1:30">
      <c r="A171" s="67"/>
      <c r="B171" s="68"/>
      <c r="C171" s="92"/>
      <c r="D171" s="68"/>
      <c r="E171" s="68"/>
      <c r="F171" s="68"/>
      <c r="G171" s="69"/>
      <c r="H171" s="69">
        <f t="shared" si="5"/>
        <v>-1534.8200000000045</v>
      </c>
      <c r="I171" s="74"/>
      <c r="J171" s="74"/>
      <c r="K171" s="74"/>
      <c r="L171" s="74"/>
      <c r="M171" s="70"/>
      <c r="N171" s="70"/>
      <c r="O171" s="70"/>
      <c r="P171" s="70"/>
      <c r="Q171" s="70"/>
      <c r="R171" s="70"/>
      <c r="S171" s="70"/>
      <c r="T171" s="70"/>
      <c r="U171" s="70"/>
      <c r="V171" s="70"/>
      <c r="W171" s="70"/>
      <c r="X171" s="70"/>
      <c r="Y171" s="70"/>
      <c r="Z171" s="70"/>
      <c r="AA171" s="70"/>
      <c r="AB171" s="28"/>
      <c r="AC171" s="323" t="str">
        <f t="shared" si="7"/>
        <v>Ok</v>
      </c>
      <c r="AD171" s="72"/>
    </row>
    <row r="172" spans="1:30">
      <c r="A172" s="67"/>
      <c r="B172" s="68"/>
      <c r="C172" s="92"/>
      <c r="D172" s="68"/>
      <c r="E172" s="68"/>
      <c r="F172" s="68"/>
      <c r="G172" s="69"/>
      <c r="H172" s="69">
        <f t="shared" si="5"/>
        <v>-1534.8200000000045</v>
      </c>
      <c r="I172" s="74"/>
      <c r="J172" s="74"/>
      <c r="K172" s="74"/>
      <c r="L172" s="74"/>
      <c r="M172" s="70"/>
      <c r="N172" s="70"/>
      <c r="O172" s="70"/>
      <c r="P172" s="70"/>
      <c r="Q172" s="70"/>
      <c r="R172" s="70"/>
      <c r="S172" s="70"/>
      <c r="T172" s="70"/>
      <c r="U172" s="70"/>
      <c r="V172" s="70"/>
      <c r="W172" s="70"/>
      <c r="X172" s="70"/>
      <c r="Y172" s="70"/>
      <c r="Z172" s="70"/>
      <c r="AA172" s="70"/>
      <c r="AB172" s="28"/>
      <c r="AC172" s="323" t="str">
        <f t="shared" si="7"/>
        <v>Ok</v>
      </c>
      <c r="AD172" s="72"/>
    </row>
    <row r="173" spans="1:30">
      <c r="A173" s="67"/>
      <c r="B173" s="68"/>
      <c r="C173" s="92"/>
      <c r="D173" s="68"/>
      <c r="E173" s="68"/>
      <c r="F173" s="68"/>
      <c r="G173" s="69"/>
      <c r="H173" s="69">
        <f t="shared" si="5"/>
        <v>-1534.8200000000045</v>
      </c>
      <c r="I173" s="74"/>
      <c r="J173" s="74"/>
      <c r="K173" s="74"/>
      <c r="L173" s="74"/>
      <c r="M173" s="70"/>
      <c r="N173" s="70"/>
      <c r="O173" s="70"/>
      <c r="P173" s="70"/>
      <c r="Q173" s="70"/>
      <c r="R173" s="70"/>
      <c r="S173" s="70"/>
      <c r="T173" s="70"/>
      <c r="U173" s="70"/>
      <c r="V173" s="70"/>
      <c r="W173" s="70"/>
      <c r="X173" s="70"/>
      <c r="Y173" s="70"/>
      <c r="Z173" s="70"/>
      <c r="AA173" s="70"/>
      <c r="AB173" s="28"/>
      <c r="AC173" s="323" t="str">
        <f t="shared" si="7"/>
        <v>Ok</v>
      </c>
      <c r="AD173" s="72"/>
    </row>
    <row r="174" spans="1:30">
      <c r="A174" s="67"/>
      <c r="B174" s="68"/>
      <c r="C174" s="92"/>
      <c r="D174" s="68"/>
      <c r="E174" s="68"/>
      <c r="F174" s="68"/>
      <c r="G174" s="69"/>
      <c r="H174" s="69">
        <f t="shared" si="5"/>
        <v>-1534.8200000000045</v>
      </c>
      <c r="I174" s="74"/>
      <c r="J174" s="74"/>
      <c r="K174" s="74"/>
      <c r="L174" s="74"/>
      <c r="M174" s="70"/>
      <c r="N174" s="70"/>
      <c r="O174" s="70"/>
      <c r="P174" s="70"/>
      <c r="Q174" s="70"/>
      <c r="R174" s="70"/>
      <c r="S174" s="70"/>
      <c r="T174" s="70"/>
      <c r="U174" s="70"/>
      <c r="V174" s="70"/>
      <c r="W174" s="70"/>
      <c r="X174" s="70"/>
      <c r="Y174" s="70"/>
      <c r="Z174" s="70"/>
      <c r="AA174" s="70"/>
      <c r="AB174" s="28"/>
      <c r="AC174" s="323" t="str">
        <f t="shared" si="7"/>
        <v>Ok</v>
      </c>
      <c r="AD174" s="72"/>
    </row>
    <row r="175" spans="1:30">
      <c r="A175" s="67"/>
      <c r="B175" s="68"/>
      <c r="C175" s="92"/>
      <c r="D175" s="68"/>
      <c r="E175" s="68"/>
      <c r="F175" s="68"/>
      <c r="G175" s="69"/>
      <c r="H175" s="69">
        <f t="shared" si="5"/>
        <v>-1534.8200000000045</v>
      </c>
      <c r="I175" s="74"/>
      <c r="J175" s="74"/>
      <c r="K175" s="74"/>
      <c r="L175" s="74"/>
      <c r="M175" s="70"/>
      <c r="N175" s="70"/>
      <c r="O175" s="70"/>
      <c r="P175" s="70"/>
      <c r="Q175" s="70"/>
      <c r="R175" s="70"/>
      <c r="S175" s="70"/>
      <c r="T175" s="70"/>
      <c r="U175" s="70"/>
      <c r="V175" s="70"/>
      <c r="W175" s="70"/>
      <c r="X175" s="70"/>
      <c r="Y175" s="70"/>
      <c r="Z175" s="70"/>
      <c r="AA175" s="70"/>
      <c r="AB175" s="28"/>
      <c r="AC175" s="323" t="str">
        <f t="shared" si="7"/>
        <v>Ok</v>
      </c>
      <c r="AD175" s="72"/>
    </row>
    <row r="176" spans="1:30">
      <c r="A176" s="67"/>
      <c r="B176" s="68"/>
      <c r="C176" s="92"/>
      <c r="D176" s="68"/>
      <c r="E176" s="68"/>
      <c r="F176" s="68"/>
      <c r="G176" s="69"/>
      <c r="H176" s="69">
        <f t="shared" si="5"/>
        <v>-1534.8200000000045</v>
      </c>
      <c r="I176" s="74"/>
      <c r="J176" s="74"/>
      <c r="K176" s="74"/>
      <c r="L176" s="74"/>
      <c r="M176" s="70"/>
      <c r="N176" s="70"/>
      <c r="O176" s="70"/>
      <c r="P176" s="70"/>
      <c r="Q176" s="70"/>
      <c r="R176" s="70"/>
      <c r="S176" s="70"/>
      <c r="T176" s="70"/>
      <c r="U176" s="70"/>
      <c r="V176" s="70"/>
      <c r="W176" s="70"/>
      <c r="X176" s="70"/>
      <c r="Y176" s="70"/>
      <c r="Z176" s="70"/>
      <c r="AA176" s="70"/>
      <c r="AB176" s="28"/>
      <c r="AC176" s="323" t="str">
        <f t="shared" si="7"/>
        <v>Ok</v>
      </c>
      <c r="AD176" s="72"/>
    </row>
    <row r="177" spans="1:30">
      <c r="A177" s="67"/>
      <c r="B177" s="68"/>
      <c r="C177" s="92"/>
      <c r="D177" s="68"/>
      <c r="E177" s="68"/>
      <c r="F177" s="68"/>
      <c r="G177" s="69"/>
      <c r="H177" s="69">
        <f t="shared" si="5"/>
        <v>-1534.8200000000045</v>
      </c>
      <c r="I177" s="74"/>
      <c r="J177" s="74"/>
      <c r="K177" s="74"/>
      <c r="L177" s="74"/>
      <c r="M177" s="70"/>
      <c r="N177" s="70"/>
      <c r="O177" s="70"/>
      <c r="P177" s="70"/>
      <c r="Q177" s="70"/>
      <c r="R177" s="70"/>
      <c r="S177" s="70"/>
      <c r="T177" s="70"/>
      <c r="U177" s="70"/>
      <c r="V177" s="70"/>
      <c r="W177" s="70"/>
      <c r="X177" s="70"/>
      <c r="Y177" s="70"/>
      <c r="Z177" s="70"/>
      <c r="AA177" s="70"/>
      <c r="AB177" s="28"/>
      <c r="AC177" s="323" t="str">
        <f t="shared" si="7"/>
        <v>Ok</v>
      </c>
      <c r="AD177" s="72"/>
    </row>
    <row r="178" spans="1:30">
      <c r="A178" s="67"/>
      <c r="B178" s="68"/>
      <c r="C178" s="92"/>
      <c r="D178" s="68"/>
      <c r="E178" s="68"/>
      <c r="F178" s="68"/>
      <c r="G178" s="69"/>
      <c r="H178" s="69">
        <f t="shared" si="5"/>
        <v>-1534.8200000000045</v>
      </c>
      <c r="I178" s="74"/>
      <c r="J178" s="74"/>
      <c r="K178" s="74"/>
      <c r="L178" s="74"/>
      <c r="M178" s="70"/>
      <c r="N178" s="70"/>
      <c r="O178" s="70"/>
      <c r="P178" s="70"/>
      <c r="Q178" s="70"/>
      <c r="R178" s="70"/>
      <c r="S178" s="70"/>
      <c r="T178" s="70"/>
      <c r="U178" s="70"/>
      <c r="V178" s="70"/>
      <c r="W178" s="70"/>
      <c r="X178" s="70"/>
      <c r="Y178" s="70"/>
      <c r="Z178" s="70"/>
      <c r="AA178" s="70"/>
      <c r="AB178" s="28"/>
      <c r="AC178" s="323" t="str">
        <f t="shared" si="7"/>
        <v>Ok</v>
      </c>
      <c r="AD178" s="72"/>
    </row>
    <row r="179" spans="1:30">
      <c r="A179" s="67"/>
      <c r="B179" s="68"/>
      <c r="C179" s="92"/>
      <c r="D179" s="68"/>
      <c r="E179" s="68"/>
      <c r="F179" s="68"/>
      <c r="G179" s="69"/>
      <c r="H179" s="69">
        <f t="shared" si="5"/>
        <v>-1534.8200000000045</v>
      </c>
      <c r="I179" s="74"/>
      <c r="J179" s="74"/>
      <c r="K179" s="74"/>
      <c r="L179" s="74"/>
      <c r="M179" s="70"/>
      <c r="N179" s="70"/>
      <c r="O179" s="70"/>
      <c r="P179" s="70"/>
      <c r="Q179" s="70"/>
      <c r="R179" s="70"/>
      <c r="S179" s="70"/>
      <c r="T179" s="70"/>
      <c r="U179" s="70"/>
      <c r="V179" s="70"/>
      <c r="W179" s="70"/>
      <c r="X179" s="70"/>
      <c r="Y179" s="70"/>
      <c r="Z179" s="70"/>
      <c r="AA179" s="70"/>
      <c r="AB179" s="28"/>
      <c r="AC179" s="323" t="str">
        <f t="shared" si="7"/>
        <v>Ok</v>
      </c>
      <c r="AD179" s="72"/>
    </row>
    <row r="180" spans="1:30">
      <c r="A180" s="67"/>
      <c r="B180" s="68"/>
      <c r="C180" s="92"/>
      <c r="D180" s="68"/>
      <c r="E180" s="68"/>
      <c r="F180" s="68"/>
      <c r="G180" s="69"/>
      <c r="H180" s="69">
        <f t="shared" si="5"/>
        <v>-1534.8200000000045</v>
      </c>
      <c r="I180" s="74"/>
      <c r="J180" s="74"/>
      <c r="K180" s="74"/>
      <c r="L180" s="74"/>
      <c r="M180" s="70"/>
      <c r="N180" s="70"/>
      <c r="O180" s="70"/>
      <c r="P180" s="70"/>
      <c r="Q180" s="70"/>
      <c r="R180" s="70"/>
      <c r="S180" s="70"/>
      <c r="T180" s="70"/>
      <c r="U180" s="70"/>
      <c r="V180" s="70"/>
      <c r="W180" s="70"/>
      <c r="X180" s="70"/>
      <c r="Y180" s="70"/>
      <c r="Z180" s="70"/>
      <c r="AA180" s="70"/>
      <c r="AB180" s="28"/>
      <c r="AC180" s="323" t="str">
        <f t="shared" si="7"/>
        <v>Ok</v>
      </c>
      <c r="AD180" s="72"/>
    </row>
    <row r="181" spans="1:30">
      <c r="A181" s="67"/>
      <c r="B181" s="68"/>
      <c r="C181" s="92"/>
      <c r="D181" s="68"/>
      <c r="E181" s="68"/>
      <c r="F181" s="68"/>
      <c r="G181" s="69"/>
      <c r="H181" s="69">
        <f t="shared" si="5"/>
        <v>-1534.8200000000045</v>
      </c>
      <c r="I181" s="74"/>
      <c r="J181" s="74"/>
      <c r="K181" s="74"/>
      <c r="L181" s="74"/>
      <c r="M181" s="70"/>
      <c r="N181" s="70"/>
      <c r="O181" s="70"/>
      <c r="P181" s="70"/>
      <c r="Q181" s="70"/>
      <c r="R181" s="70"/>
      <c r="S181" s="70"/>
      <c r="T181" s="70"/>
      <c r="U181" s="70"/>
      <c r="V181" s="70"/>
      <c r="W181" s="70"/>
      <c r="X181" s="70"/>
      <c r="Y181" s="70"/>
      <c r="Z181" s="70"/>
      <c r="AA181" s="70"/>
      <c r="AB181" s="28"/>
      <c r="AC181" s="323" t="str">
        <f t="shared" si="7"/>
        <v>Ok</v>
      </c>
      <c r="AD181" s="72"/>
    </row>
    <row r="182" spans="1:30">
      <c r="A182" s="67"/>
      <c r="B182" s="68"/>
      <c r="C182" s="92"/>
      <c r="D182" s="68"/>
      <c r="E182" s="68"/>
      <c r="F182" s="68"/>
      <c r="G182" s="69"/>
      <c r="H182" s="69">
        <f t="shared" si="5"/>
        <v>-1534.8200000000045</v>
      </c>
      <c r="I182" s="74"/>
      <c r="J182" s="74"/>
      <c r="K182" s="74"/>
      <c r="L182" s="74"/>
      <c r="M182" s="70"/>
      <c r="N182" s="70"/>
      <c r="O182" s="70"/>
      <c r="P182" s="70"/>
      <c r="Q182" s="70"/>
      <c r="R182" s="70"/>
      <c r="S182" s="70"/>
      <c r="T182" s="70"/>
      <c r="U182" s="70"/>
      <c r="V182" s="70"/>
      <c r="W182" s="70"/>
      <c r="X182" s="70"/>
      <c r="Y182" s="70"/>
      <c r="Z182" s="70"/>
      <c r="AA182" s="70"/>
      <c r="AB182" s="28"/>
      <c r="AC182" s="323" t="str">
        <f t="shared" si="7"/>
        <v>Ok</v>
      </c>
      <c r="AD182" s="72"/>
    </row>
    <row r="183" spans="1:30">
      <c r="A183" s="67"/>
      <c r="B183" s="68"/>
      <c r="C183" s="92"/>
      <c r="D183" s="68"/>
      <c r="E183" s="68"/>
      <c r="F183" s="68"/>
      <c r="G183" s="69"/>
      <c r="H183" s="69">
        <f t="shared" si="5"/>
        <v>-1534.8200000000045</v>
      </c>
      <c r="I183" s="74"/>
      <c r="J183" s="74"/>
      <c r="K183" s="74"/>
      <c r="L183" s="74"/>
      <c r="M183" s="70"/>
      <c r="N183" s="70"/>
      <c r="O183" s="70"/>
      <c r="P183" s="70"/>
      <c r="Q183" s="70"/>
      <c r="R183" s="70"/>
      <c r="S183" s="70"/>
      <c r="T183" s="70"/>
      <c r="U183" s="70"/>
      <c r="V183" s="70"/>
      <c r="W183" s="70"/>
      <c r="X183" s="70"/>
      <c r="Y183" s="70"/>
      <c r="Z183" s="70"/>
      <c r="AA183" s="70"/>
      <c r="AB183" s="28"/>
      <c r="AC183" s="323" t="str">
        <f t="shared" si="7"/>
        <v>Ok</v>
      </c>
      <c r="AD183" s="72"/>
    </row>
    <row r="184" spans="1:30">
      <c r="A184" s="67"/>
      <c r="B184" s="68"/>
      <c r="C184" s="92"/>
      <c r="D184" s="68"/>
      <c r="E184" s="68"/>
      <c r="F184" s="68"/>
      <c r="G184" s="69"/>
      <c r="H184" s="69">
        <f t="shared" si="5"/>
        <v>-1534.8200000000045</v>
      </c>
      <c r="I184" s="74"/>
      <c r="J184" s="74"/>
      <c r="K184" s="74"/>
      <c r="L184" s="74"/>
      <c r="M184" s="70"/>
      <c r="N184" s="70"/>
      <c r="O184" s="70"/>
      <c r="P184" s="70"/>
      <c r="Q184" s="70"/>
      <c r="R184" s="70"/>
      <c r="S184" s="70"/>
      <c r="T184" s="70"/>
      <c r="U184" s="70"/>
      <c r="V184" s="70"/>
      <c r="W184" s="70"/>
      <c r="X184" s="70"/>
      <c r="Y184" s="70"/>
      <c r="Z184" s="70"/>
      <c r="AA184" s="70"/>
      <c r="AB184" s="28"/>
      <c r="AC184" s="323" t="str">
        <f t="shared" si="7"/>
        <v>Ok</v>
      </c>
      <c r="AD184" s="72"/>
    </row>
    <row r="185" spans="1:30">
      <c r="A185" s="67"/>
      <c r="B185" s="68"/>
      <c r="C185" s="92"/>
      <c r="D185" s="68"/>
      <c r="E185" s="68"/>
      <c r="F185" s="68"/>
      <c r="G185" s="69"/>
      <c r="H185" s="69">
        <f t="shared" si="5"/>
        <v>-1534.8200000000045</v>
      </c>
      <c r="I185" s="74"/>
      <c r="J185" s="74"/>
      <c r="K185" s="74"/>
      <c r="L185" s="74"/>
      <c r="M185" s="70"/>
      <c r="N185" s="70"/>
      <c r="O185" s="70"/>
      <c r="P185" s="70"/>
      <c r="Q185" s="70"/>
      <c r="R185" s="70"/>
      <c r="S185" s="70"/>
      <c r="T185" s="70"/>
      <c r="U185" s="70"/>
      <c r="V185" s="70"/>
      <c r="W185" s="70"/>
      <c r="X185" s="70"/>
      <c r="Y185" s="70"/>
      <c r="Z185" s="70"/>
      <c r="AA185" s="70"/>
      <c r="AB185" s="28"/>
      <c r="AC185" s="323" t="str">
        <f t="shared" si="7"/>
        <v>Ok</v>
      </c>
      <c r="AD185" s="72"/>
    </row>
    <row r="186" spans="1:30">
      <c r="A186" s="67"/>
      <c r="B186" s="68"/>
      <c r="C186" s="92"/>
      <c r="D186" s="68"/>
      <c r="E186" s="68"/>
      <c r="F186" s="68"/>
      <c r="G186" s="69"/>
      <c r="H186" s="69">
        <f t="shared" si="5"/>
        <v>-1534.8200000000045</v>
      </c>
      <c r="I186" s="74"/>
      <c r="J186" s="74"/>
      <c r="K186" s="74"/>
      <c r="L186" s="74"/>
      <c r="M186" s="70"/>
      <c r="N186" s="70"/>
      <c r="O186" s="70"/>
      <c r="P186" s="70"/>
      <c r="Q186" s="70"/>
      <c r="R186" s="70"/>
      <c r="S186" s="70"/>
      <c r="T186" s="70"/>
      <c r="U186" s="70"/>
      <c r="V186" s="70"/>
      <c r="W186" s="70"/>
      <c r="X186" s="70"/>
      <c r="Y186" s="70"/>
      <c r="Z186" s="70"/>
      <c r="AA186" s="70"/>
      <c r="AB186" s="28"/>
      <c r="AC186" s="323" t="str">
        <f t="shared" si="7"/>
        <v>Ok</v>
      </c>
      <c r="AD186" s="72"/>
    </row>
    <row r="187" spans="1:30">
      <c r="A187" s="67"/>
      <c r="B187" s="68"/>
      <c r="C187" s="92"/>
      <c r="D187" s="68"/>
      <c r="E187" s="68"/>
      <c r="F187" s="68"/>
      <c r="G187" s="69"/>
      <c r="H187" s="69">
        <f t="shared" si="5"/>
        <v>-1534.8200000000045</v>
      </c>
      <c r="I187" s="74"/>
      <c r="J187" s="74"/>
      <c r="K187" s="74"/>
      <c r="L187" s="74"/>
      <c r="M187" s="70"/>
      <c r="N187" s="70"/>
      <c r="O187" s="70"/>
      <c r="P187" s="70"/>
      <c r="Q187" s="70"/>
      <c r="R187" s="70"/>
      <c r="S187" s="70"/>
      <c r="T187" s="70"/>
      <c r="U187" s="70"/>
      <c r="V187" s="70"/>
      <c r="W187" s="70"/>
      <c r="X187" s="70"/>
      <c r="Y187" s="70"/>
      <c r="Z187" s="70"/>
      <c r="AA187" s="70"/>
      <c r="AB187" s="28"/>
      <c r="AC187" s="323" t="str">
        <f t="shared" si="7"/>
        <v>Ok</v>
      </c>
      <c r="AD187" s="72"/>
    </row>
    <row r="188" spans="1:30">
      <c r="A188" s="67"/>
      <c r="B188" s="68"/>
      <c r="C188" s="92"/>
      <c r="D188" s="68"/>
      <c r="E188" s="68"/>
      <c r="F188" s="68"/>
      <c r="G188" s="69"/>
      <c r="H188" s="69">
        <f t="shared" si="5"/>
        <v>-1534.8200000000045</v>
      </c>
      <c r="I188" s="74"/>
      <c r="J188" s="74"/>
      <c r="K188" s="74"/>
      <c r="L188" s="74"/>
      <c r="M188" s="70"/>
      <c r="N188" s="70"/>
      <c r="O188" s="70"/>
      <c r="P188" s="70"/>
      <c r="Q188" s="70"/>
      <c r="R188" s="70"/>
      <c r="S188" s="70"/>
      <c r="T188" s="70"/>
      <c r="U188" s="70"/>
      <c r="V188" s="70"/>
      <c r="W188" s="70"/>
      <c r="X188" s="70"/>
      <c r="Y188" s="70"/>
      <c r="Z188" s="70"/>
      <c r="AA188" s="70"/>
      <c r="AB188" s="28"/>
      <c r="AC188" s="323" t="str">
        <f t="shared" si="7"/>
        <v>Ok</v>
      </c>
      <c r="AD188" s="72"/>
    </row>
    <row r="189" spans="1:30">
      <c r="A189" s="67"/>
      <c r="B189" s="68"/>
      <c r="C189" s="92"/>
      <c r="D189" s="68"/>
      <c r="E189" s="68"/>
      <c r="F189" s="68"/>
      <c r="G189" s="69"/>
      <c r="H189" s="69">
        <f t="shared" si="5"/>
        <v>-1534.8200000000045</v>
      </c>
      <c r="I189" s="74"/>
      <c r="J189" s="74"/>
      <c r="K189" s="74"/>
      <c r="L189" s="74"/>
      <c r="M189" s="70"/>
      <c r="N189" s="70"/>
      <c r="O189" s="70"/>
      <c r="P189" s="70"/>
      <c r="Q189" s="70"/>
      <c r="R189" s="70"/>
      <c r="S189" s="70"/>
      <c r="T189" s="70"/>
      <c r="U189" s="70"/>
      <c r="V189" s="70"/>
      <c r="W189" s="70"/>
      <c r="X189" s="70"/>
      <c r="Y189" s="70"/>
      <c r="Z189" s="70"/>
      <c r="AA189" s="70"/>
      <c r="AB189" s="28"/>
      <c r="AC189" s="323" t="str">
        <f t="shared" si="7"/>
        <v>Ok</v>
      </c>
      <c r="AD189" s="72"/>
    </row>
    <row r="190" spans="1:30">
      <c r="A190" s="67"/>
      <c r="B190" s="68"/>
      <c r="C190" s="92"/>
      <c r="D190" s="68"/>
      <c r="E190" s="167"/>
      <c r="F190" s="68"/>
      <c r="G190" s="69"/>
      <c r="H190" s="69">
        <f t="shared" si="5"/>
        <v>-1534.8200000000045</v>
      </c>
      <c r="I190" s="74"/>
      <c r="J190" s="74"/>
      <c r="K190" s="74"/>
      <c r="L190" s="74"/>
      <c r="M190" s="70"/>
      <c r="N190" s="70"/>
      <c r="O190" s="70"/>
      <c r="P190" s="70"/>
      <c r="Q190" s="70"/>
      <c r="R190" s="70"/>
      <c r="S190" s="70"/>
      <c r="T190" s="70"/>
      <c r="U190" s="70"/>
      <c r="V190" s="70"/>
      <c r="W190" s="70"/>
      <c r="X190" s="70"/>
      <c r="Y190" s="70"/>
      <c r="Z190" s="70"/>
      <c r="AA190" s="70"/>
      <c r="AB190" s="28"/>
      <c r="AC190" s="323" t="str">
        <f t="shared" si="7"/>
        <v>Ok</v>
      </c>
      <c r="AD190" s="72"/>
    </row>
    <row r="191" spans="1:30">
      <c r="A191" s="67"/>
      <c r="B191" s="68"/>
      <c r="C191" s="92"/>
      <c r="D191" s="68"/>
      <c r="E191" s="68"/>
      <c r="F191" s="68"/>
      <c r="G191" s="69"/>
      <c r="H191" s="69">
        <f t="shared" si="5"/>
        <v>-1534.8200000000045</v>
      </c>
      <c r="I191" s="74"/>
      <c r="J191" s="74"/>
      <c r="K191" s="74"/>
      <c r="L191" s="74"/>
      <c r="M191" s="70"/>
      <c r="N191" s="70"/>
      <c r="O191" s="70"/>
      <c r="P191" s="70"/>
      <c r="Q191" s="70"/>
      <c r="R191" s="70"/>
      <c r="S191" s="70"/>
      <c r="T191" s="70"/>
      <c r="U191" s="70"/>
      <c r="V191" s="70"/>
      <c r="W191" s="70"/>
      <c r="X191" s="70"/>
      <c r="Y191" s="70"/>
      <c r="Z191" s="70"/>
      <c r="AA191" s="70"/>
      <c r="AB191" s="28"/>
      <c r="AC191" s="323" t="str">
        <f t="shared" si="7"/>
        <v>Ok</v>
      </c>
      <c r="AD191" s="72"/>
    </row>
    <row r="192" spans="1:30">
      <c r="A192" s="67"/>
      <c r="B192" s="68"/>
      <c r="C192" s="92"/>
      <c r="D192" s="68"/>
      <c r="E192" s="68"/>
      <c r="F192" s="68"/>
      <c r="G192" s="69"/>
      <c r="H192" s="69">
        <f t="shared" si="5"/>
        <v>-1534.8200000000045</v>
      </c>
      <c r="I192" s="74"/>
      <c r="J192" s="74"/>
      <c r="K192" s="74"/>
      <c r="L192" s="74"/>
      <c r="M192" s="70"/>
      <c r="N192" s="70"/>
      <c r="O192" s="70"/>
      <c r="P192" s="70"/>
      <c r="Q192" s="70"/>
      <c r="R192" s="70"/>
      <c r="S192" s="70"/>
      <c r="T192" s="70"/>
      <c r="U192" s="70"/>
      <c r="V192" s="70"/>
      <c r="W192" s="70"/>
      <c r="X192" s="70"/>
      <c r="Y192" s="70"/>
      <c r="Z192" s="70"/>
      <c r="AA192" s="70"/>
      <c r="AB192" s="28"/>
      <c r="AC192" s="323" t="str">
        <f t="shared" si="7"/>
        <v>Ok</v>
      </c>
      <c r="AD192" s="72"/>
    </row>
    <row r="193" spans="1:30">
      <c r="A193" s="67"/>
      <c r="B193" s="68"/>
      <c r="C193" s="92"/>
      <c r="D193" s="68"/>
      <c r="E193" s="68"/>
      <c r="F193" s="68"/>
      <c r="G193" s="69"/>
      <c r="H193" s="69">
        <f t="shared" si="5"/>
        <v>-1534.8200000000045</v>
      </c>
      <c r="I193" s="74"/>
      <c r="J193" s="74"/>
      <c r="K193" s="74"/>
      <c r="L193" s="74"/>
      <c r="M193" s="70"/>
      <c r="N193" s="70"/>
      <c r="O193" s="70"/>
      <c r="P193" s="70"/>
      <c r="Q193" s="70"/>
      <c r="R193" s="70"/>
      <c r="S193" s="70"/>
      <c r="T193" s="70"/>
      <c r="U193" s="70"/>
      <c r="V193" s="70"/>
      <c r="W193" s="70"/>
      <c r="X193" s="70"/>
      <c r="Y193" s="70"/>
      <c r="Z193" s="70"/>
      <c r="AA193" s="70"/>
      <c r="AB193" s="28"/>
      <c r="AC193" s="323" t="str">
        <f t="shared" si="7"/>
        <v>Ok</v>
      </c>
      <c r="AD193" s="72"/>
    </row>
    <row r="194" spans="1:30">
      <c r="A194" s="67"/>
      <c r="B194" s="68"/>
      <c r="C194" s="92"/>
      <c r="D194" s="68"/>
      <c r="E194" s="68"/>
      <c r="F194" s="68"/>
      <c r="G194" s="69"/>
      <c r="H194" s="69">
        <f t="shared" si="5"/>
        <v>-1534.8200000000045</v>
      </c>
      <c r="I194" s="74"/>
      <c r="J194" s="74"/>
      <c r="K194" s="74"/>
      <c r="L194" s="74"/>
      <c r="M194" s="70"/>
      <c r="N194" s="70"/>
      <c r="O194" s="70"/>
      <c r="P194" s="70"/>
      <c r="Q194" s="70"/>
      <c r="R194" s="70"/>
      <c r="S194" s="70"/>
      <c r="T194" s="70"/>
      <c r="U194" s="70"/>
      <c r="V194" s="70"/>
      <c r="W194" s="70"/>
      <c r="X194" s="70"/>
      <c r="Y194" s="70"/>
      <c r="Z194" s="70"/>
      <c r="AA194" s="70"/>
      <c r="AB194" s="28"/>
      <c r="AC194" s="323" t="str">
        <f t="shared" si="7"/>
        <v>Ok</v>
      </c>
      <c r="AD194" s="72"/>
    </row>
    <row r="195" spans="1:30">
      <c r="A195" s="67"/>
      <c r="B195" s="68"/>
      <c r="C195" s="92"/>
      <c r="D195" s="68"/>
      <c r="E195" s="68"/>
      <c r="F195" s="68"/>
      <c r="G195" s="69"/>
      <c r="H195" s="69">
        <f t="shared" si="5"/>
        <v>-1534.8200000000045</v>
      </c>
      <c r="I195" s="74"/>
      <c r="J195" s="74"/>
      <c r="K195" s="74"/>
      <c r="L195" s="74"/>
      <c r="M195" s="70"/>
      <c r="N195" s="70"/>
      <c r="O195" s="70"/>
      <c r="P195" s="70"/>
      <c r="Q195" s="70"/>
      <c r="R195" s="70"/>
      <c r="S195" s="70"/>
      <c r="T195" s="70"/>
      <c r="U195" s="70"/>
      <c r="V195" s="70"/>
      <c r="W195" s="70"/>
      <c r="X195" s="70"/>
      <c r="Y195" s="70"/>
      <c r="Z195" s="70"/>
      <c r="AA195" s="70"/>
      <c r="AB195" s="28"/>
      <c r="AC195" s="323" t="str">
        <f t="shared" si="7"/>
        <v>Ok</v>
      </c>
      <c r="AD195" s="72"/>
    </row>
    <row r="196" spans="1:30">
      <c r="A196" s="67"/>
      <c r="B196" s="68"/>
      <c r="C196" s="92"/>
      <c r="D196" s="68"/>
      <c r="E196" s="68"/>
      <c r="F196" s="68"/>
      <c r="G196" s="69"/>
      <c r="H196" s="69">
        <f t="shared" si="5"/>
        <v>-1534.8200000000045</v>
      </c>
      <c r="I196" s="74"/>
      <c r="J196" s="74"/>
      <c r="K196" s="74"/>
      <c r="L196" s="74"/>
      <c r="M196" s="70"/>
      <c r="N196" s="70"/>
      <c r="O196" s="70"/>
      <c r="P196" s="70"/>
      <c r="Q196" s="70"/>
      <c r="R196" s="70"/>
      <c r="S196" s="70"/>
      <c r="T196" s="70"/>
      <c r="U196" s="70"/>
      <c r="V196" s="70"/>
      <c r="W196" s="70"/>
      <c r="X196" s="70"/>
      <c r="Y196" s="70"/>
      <c r="Z196" s="70"/>
      <c r="AA196" s="70"/>
      <c r="AB196" s="28"/>
      <c r="AC196" s="323" t="str">
        <f t="shared" si="7"/>
        <v>Ok</v>
      </c>
      <c r="AD196" s="72"/>
    </row>
    <row r="197" spans="1:30">
      <c r="A197" s="67"/>
      <c r="B197" s="68"/>
      <c r="C197" s="92"/>
      <c r="D197" s="68"/>
      <c r="E197" s="68"/>
      <c r="F197" s="68"/>
      <c r="G197" s="69"/>
      <c r="H197" s="69">
        <f t="shared" si="5"/>
        <v>-1534.8200000000045</v>
      </c>
      <c r="I197" s="74"/>
      <c r="J197" s="74"/>
      <c r="K197" s="74"/>
      <c r="L197" s="74"/>
      <c r="M197" s="70"/>
      <c r="N197" s="70"/>
      <c r="O197" s="70"/>
      <c r="P197" s="70"/>
      <c r="Q197" s="70"/>
      <c r="R197" s="70"/>
      <c r="S197" s="70"/>
      <c r="T197" s="70"/>
      <c r="U197" s="70"/>
      <c r="V197" s="70"/>
      <c r="W197" s="70"/>
      <c r="X197" s="70"/>
      <c r="Y197" s="70"/>
      <c r="Z197" s="70"/>
      <c r="AA197" s="70"/>
      <c r="AB197" s="28"/>
      <c r="AC197" s="323" t="str">
        <f t="shared" si="7"/>
        <v>Ok</v>
      </c>
      <c r="AD197" s="72"/>
    </row>
    <row r="198" spans="1:30">
      <c r="A198" s="67"/>
      <c r="B198" s="68"/>
      <c r="C198" s="92"/>
      <c r="D198" s="68"/>
      <c r="E198" s="68"/>
      <c r="F198" s="68"/>
      <c r="G198" s="69"/>
      <c r="H198" s="69">
        <f t="shared" si="5"/>
        <v>-1534.8200000000045</v>
      </c>
      <c r="I198" s="74"/>
      <c r="J198" s="74"/>
      <c r="K198" s="74"/>
      <c r="L198" s="74"/>
      <c r="M198" s="70"/>
      <c r="N198" s="70"/>
      <c r="O198" s="70"/>
      <c r="P198" s="70"/>
      <c r="Q198" s="70"/>
      <c r="R198" s="70"/>
      <c r="S198" s="70"/>
      <c r="T198" s="70"/>
      <c r="U198" s="70"/>
      <c r="V198" s="70"/>
      <c r="W198" s="70"/>
      <c r="X198" s="70"/>
      <c r="Y198" s="70"/>
      <c r="Z198" s="70"/>
      <c r="AA198" s="70"/>
      <c r="AB198" s="28"/>
      <c r="AC198" s="323" t="str">
        <f t="shared" si="7"/>
        <v>Ok</v>
      </c>
      <c r="AD198" s="72"/>
    </row>
    <row r="199" spans="1:30">
      <c r="A199" s="67"/>
      <c r="B199" s="68"/>
      <c r="C199" s="92"/>
      <c r="D199" s="68"/>
      <c r="E199" s="68"/>
      <c r="F199" s="68"/>
      <c r="G199" s="69"/>
      <c r="H199" s="69">
        <f t="shared" si="5"/>
        <v>-1534.8200000000045</v>
      </c>
      <c r="I199" s="74"/>
      <c r="J199" s="74"/>
      <c r="K199" s="74"/>
      <c r="L199" s="74"/>
      <c r="M199" s="70"/>
      <c r="N199" s="70"/>
      <c r="O199" s="70"/>
      <c r="P199" s="70"/>
      <c r="Q199" s="70"/>
      <c r="R199" s="70"/>
      <c r="S199" s="70"/>
      <c r="T199" s="70"/>
      <c r="U199" s="70"/>
      <c r="V199" s="70"/>
      <c r="W199" s="70"/>
      <c r="X199" s="70"/>
      <c r="Y199" s="70"/>
      <c r="Z199" s="70"/>
      <c r="AA199" s="70"/>
      <c r="AB199" s="28"/>
      <c r="AC199" s="323" t="str">
        <f t="shared" si="7"/>
        <v>Ok</v>
      </c>
      <c r="AD199" s="72"/>
    </row>
    <row r="200" spans="1:30">
      <c r="A200" s="67"/>
      <c r="B200" s="68"/>
      <c r="C200" s="92"/>
      <c r="D200" s="68"/>
      <c r="E200" s="68"/>
      <c r="F200" s="68"/>
      <c r="G200" s="69"/>
      <c r="H200" s="69">
        <f t="shared" si="5"/>
        <v>-1534.8200000000045</v>
      </c>
      <c r="I200" s="74"/>
      <c r="J200" s="74"/>
      <c r="K200" s="74"/>
      <c r="L200" s="74"/>
      <c r="M200" s="70"/>
      <c r="N200" s="70"/>
      <c r="O200" s="70"/>
      <c r="P200" s="70"/>
      <c r="Q200" s="70"/>
      <c r="R200" s="70"/>
      <c r="S200" s="70"/>
      <c r="T200" s="70"/>
      <c r="U200" s="70"/>
      <c r="V200" s="70"/>
      <c r="W200" s="70"/>
      <c r="X200" s="70"/>
      <c r="Y200" s="70"/>
      <c r="Z200" s="70"/>
      <c r="AA200" s="70"/>
      <c r="AB200" s="28"/>
      <c r="AC200" s="323" t="str">
        <f t="shared" si="7"/>
        <v>Ok</v>
      </c>
      <c r="AD200" s="72"/>
    </row>
    <row r="201" spans="1:30">
      <c r="A201" s="67"/>
      <c r="B201" s="68"/>
      <c r="C201" s="92"/>
      <c r="D201" s="68"/>
      <c r="E201" s="68"/>
      <c r="F201" s="68"/>
      <c r="G201" s="69"/>
      <c r="H201" s="69">
        <f t="shared" ref="H201:H228" si="8">H200+IF(B201="Yes",G201,0)</f>
        <v>-1534.8200000000045</v>
      </c>
      <c r="I201" s="74"/>
      <c r="J201" s="74"/>
      <c r="K201" s="74"/>
      <c r="L201" s="74"/>
      <c r="M201" s="70"/>
      <c r="N201" s="70"/>
      <c r="O201" s="70"/>
      <c r="P201" s="70"/>
      <c r="Q201" s="70"/>
      <c r="R201" s="70"/>
      <c r="S201" s="70"/>
      <c r="T201" s="70"/>
      <c r="U201" s="70"/>
      <c r="V201" s="70"/>
      <c r="W201" s="70"/>
      <c r="X201" s="70"/>
      <c r="Y201" s="70"/>
      <c r="Z201" s="70"/>
      <c r="AA201" s="70"/>
      <c r="AB201" s="28"/>
      <c r="AC201" s="323" t="str">
        <f t="shared" si="7"/>
        <v>Ok</v>
      </c>
      <c r="AD201" s="72"/>
    </row>
    <row r="202" spans="1:30">
      <c r="A202" s="67"/>
      <c r="B202" s="68"/>
      <c r="C202" s="92"/>
      <c r="D202" s="68"/>
      <c r="E202" s="68"/>
      <c r="F202" s="68"/>
      <c r="G202" s="69"/>
      <c r="H202" s="69">
        <f t="shared" si="8"/>
        <v>-1534.8200000000045</v>
      </c>
      <c r="I202" s="74"/>
      <c r="J202" s="74"/>
      <c r="K202" s="74"/>
      <c r="L202" s="74"/>
      <c r="M202" s="70"/>
      <c r="N202" s="70"/>
      <c r="O202" s="70"/>
      <c r="P202" s="70"/>
      <c r="Q202" s="70"/>
      <c r="R202" s="70"/>
      <c r="S202" s="70"/>
      <c r="T202" s="70"/>
      <c r="U202" s="70"/>
      <c r="V202" s="70"/>
      <c r="W202" s="70"/>
      <c r="X202" s="70"/>
      <c r="Y202" s="70"/>
      <c r="Z202" s="70"/>
      <c r="AA202" s="70"/>
      <c r="AB202" s="28"/>
      <c r="AC202" s="323" t="str">
        <f t="shared" si="7"/>
        <v>Ok</v>
      </c>
      <c r="AD202" s="72"/>
    </row>
    <row r="203" spans="1:30">
      <c r="A203" s="67"/>
      <c r="B203" s="68"/>
      <c r="C203" s="92"/>
      <c r="D203" s="68"/>
      <c r="E203" s="68"/>
      <c r="F203" s="68"/>
      <c r="G203" s="69"/>
      <c r="H203" s="69">
        <f t="shared" si="8"/>
        <v>-1534.8200000000045</v>
      </c>
      <c r="I203" s="74"/>
      <c r="J203" s="74"/>
      <c r="K203" s="74"/>
      <c r="L203" s="74"/>
      <c r="M203" s="70"/>
      <c r="N203" s="70"/>
      <c r="O203" s="70"/>
      <c r="P203" s="70"/>
      <c r="Q203" s="70"/>
      <c r="R203" s="70"/>
      <c r="S203" s="70"/>
      <c r="T203" s="70"/>
      <c r="U203" s="70"/>
      <c r="V203" s="70"/>
      <c r="W203" s="70"/>
      <c r="X203" s="70"/>
      <c r="Y203" s="70"/>
      <c r="Z203" s="70"/>
      <c r="AA203" s="70"/>
      <c r="AB203" s="28"/>
      <c r="AC203" s="323" t="str">
        <f t="shared" si="7"/>
        <v>Ok</v>
      </c>
      <c r="AD203" s="72"/>
    </row>
    <row r="204" spans="1:30">
      <c r="A204" s="67"/>
      <c r="B204" s="68"/>
      <c r="C204" s="92"/>
      <c r="D204" s="68"/>
      <c r="E204" s="68"/>
      <c r="F204" s="68"/>
      <c r="G204" s="69"/>
      <c r="H204" s="69">
        <f t="shared" si="8"/>
        <v>-1534.8200000000045</v>
      </c>
      <c r="I204" s="74"/>
      <c r="J204" s="74"/>
      <c r="K204" s="74"/>
      <c r="L204" s="74"/>
      <c r="M204" s="70"/>
      <c r="N204" s="70"/>
      <c r="O204" s="70"/>
      <c r="P204" s="70"/>
      <c r="Q204" s="70"/>
      <c r="R204" s="70"/>
      <c r="S204" s="70"/>
      <c r="T204" s="70"/>
      <c r="U204" s="70"/>
      <c r="V204" s="70"/>
      <c r="W204" s="70"/>
      <c r="X204" s="70"/>
      <c r="Y204" s="70"/>
      <c r="Z204" s="70"/>
      <c r="AA204" s="70"/>
      <c r="AB204" s="28"/>
      <c r="AC204" s="323" t="str">
        <f t="shared" si="7"/>
        <v>Ok</v>
      </c>
      <c r="AD204" s="72"/>
    </row>
    <row r="205" spans="1:30">
      <c r="A205" s="67"/>
      <c r="B205" s="68"/>
      <c r="C205" s="92"/>
      <c r="D205" s="68"/>
      <c r="E205" s="68"/>
      <c r="F205" s="68"/>
      <c r="G205" s="69"/>
      <c r="H205" s="69">
        <f t="shared" si="8"/>
        <v>-1534.8200000000045</v>
      </c>
      <c r="I205" s="74"/>
      <c r="J205" s="74"/>
      <c r="K205" s="74"/>
      <c r="L205" s="74"/>
      <c r="M205" s="70"/>
      <c r="N205" s="70"/>
      <c r="O205" s="70"/>
      <c r="P205" s="70"/>
      <c r="Q205" s="70"/>
      <c r="R205" s="70"/>
      <c r="S205" s="70"/>
      <c r="T205" s="70"/>
      <c r="U205" s="70"/>
      <c r="V205" s="70"/>
      <c r="W205" s="70"/>
      <c r="X205" s="70"/>
      <c r="Y205" s="70"/>
      <c r="Z205" s="70"/>
      <c r="AA205" s="70"/>
      <c r="AB205" s="28"/>
      <c r="AC205" s="323" t="str">
        <f t="shared" si="7"/>
        <v>Ok</v>
      </c>
      <c r="AD205" s="72"/>
    </row>
    <row r="206" spans="1:30">
      <c r="A206" s="67"/>
      <c r="B206" s="68"/>
      <c r="C206" s="92"/>
      <c r="D206" s="68"/>
      <c r="E206" s="68"/>
      <c r="F206" s="68"/>
      <c r="G206" s="69"/>
      <c r="H206" s="69">
        <f t="shared" si="8"/>
        <v>-1534.8200000000045</v>
      </c>
      <c r="I206" s="74"/>
      <c r="J206" s="74"/>
      <c r="K206" s="74"/>
      <c r="L206" s="74"/>
      <c r="M206" s="70"/>
      <c r="N206" s="70"/>
      <c r="O206" s="70"/>
      <c r="P206" s="70"/>
      <c r="Q206" s="70"/>
      <c r="R206" s="70"/>
      <c r="S206" s="70"/>
      <c r="T206" s="70"/>
      <c r="U206" s="70"/>
      <c r="V206" s="70"/>
      <c r="W206" s="70"/>
      <c r="X206" s="70"/>
      <c r="Y206" s="70"/>
      <c r="Z206" s="70"/>
      <c r="AA206" s="70"/>
      <c r="AB206" s="28"/>
      <c r="AC206" s="323" t="str">
        <f t="shared" si="7"/>
        <v>Ok</v>
      </c>
      <c r="AD206" s="72"/>
    </row>
    <row r="207" spans="1:30">
      <c r="A207" s="67"/>
      <c r="B207" s="68"/>
      <c r="C207" s="92"/>
      <c r="D207" s="68"/>
      <c r="E207" s="68"/>
      <c r="F207" s="68"/>
      <c r="G207" s="69"/>
      <c r="H207" s="69">
        <f t="shared" si="8"/>
        <v>-1534.8200000000045</v>
      </c>
      <c r="I207" s="74"/>
      <c r="J207" s="74"/>
      <c r="K207" s="74"/>
      <c r="L207" s="74"/>
      <c r="M207" s="70"/>
      <c r="N207" s="70"/>
      <c r="O207" s="70"/>
      <c r="P207" s="70"/>
      <c r="Q207" s="70"/>
      <c r="R207" s="70"/>
      <c r="S207" s="70"/>
      <c r="T207" s="70"/>
      <c r="U207" s="70"/>
      <c r="V207" s="70"/>
      <c r="W207" s="70"/>
      <c r="X207" s="70"/>
      <c r="Y207" s="70"/>
      <c r="Z207" s="70"/>
      <c r="AA207" s="70"/>
      <c r="AB207" s="28"/>
      <c r="AC207" s="323" t="str">
        <f t="shared" si="7"/>
        <v>Ok</v>
      </c>
      <c r="AD207" s="72"/>
    </row>
    <row r="208" spans="1:30">
      <c r="A208" s="67"/>
      <c r="B208" s="68"/>
      <c r="C208" s="92"/>
      <c r="D208" s="68"/>
      <c r="E208" s="68"/>
      <c r="F208" s="68"/>
      <c r="G208" s="69"/>
      <c r="H208" s="69">
        <f t="shared" si="8"/>
        <v>-1534.8200000000045</v>
      </c>
      <c r="I208" s="74"/>
      <c r="J208" s="74"/>
      <c r="K208" s="74"/>
      <c r="L208" s="74"/>
      <c r="M208" s="70"/>
      <c r="N208" s="70"/>
      <c r="O208" s="70"/>
      <c r="P208" s="70"/>
      <c r="Q208" s="70"/>
      <c r="R208" s="70"/>
      <c r="S208" s="70"/>
      <c r="T208" s="70"/>
      <c r="U208" s="70"/>
      <c r="V208" s="70"/>
      <c r="W208" s="70"/>
      <c r="X208" s="70"/>
      <c r="Y208" s="70"/>
      <c r="Z208" s="70"/>
      <c r="AA208" s="70"/>
      <c r="AB208" s="28"/>
      <c r="AC208" s="323" t="str">
        <f t="shared" si="7"/>
        <v>Ok</v>
      </c>
      <c r="AD208" s="72"/>
    </row>
    <row r="209" spans="1:30">
      <c r="A209" s="67"/>
      <c r="B209" s="68"/>
      <c r="C209" s="92"/>
      <c r="D209" s="68"/>
      <c r="E209" s="68"/>
      <c r="F209" s="68"/>
      <c r="G209" s="69"/>
      <c r="H209" s="69">
        <f t="shared" si="8"/>
        <v>-1534.8200000000045</v>
      </c>
      <c r="I209" s="74"/>
      <c r="J209" s="74"/>
      <c r="K209" s="74"/>
      <c r="L209" s="74"/>
      <c r="M209" s="70"/>
      <c r="N209" s="70"/>
      <c r="O209" s="70"/>
      <c r="P209" s="70"/>
      <c r="Q209" s="70"/>
      <c r="R209" s="70"/>
      <c r="S209" s="70"/>
      <c r="T209" s="70"/>
      <c r="U209" s="70"/>
      <c r="V209" s="70"/>
      <c r="W209" s="70"/>
      <c r="X209" s="70"/>
      <c r="Y209" s="70"/>
      <c r="Z209" s="70"/>
      <c r="AA209" s="70"/>
      <c r="AB209" s="28"/>
      <c r="AC209" s="323" t="str">
        <f t="shared" si="7"/>
        <v>Ok</v>
      </c>
      <c r="AD209" s="72"/>
    </row>
    <row r="210" spans="1:30">
      <c r="A210" s="67"/>
      <c r="B210" s="68"/>
      <c r="C210" s="92"/>
      <c r="D210" s="68"/>
      <c r="E210" s="68"/>
      <c r="F210" s="68"/>
      <c r="G210" s="69"/>
      <c r="H210" s="69">
        <f t="shared" si="8"/>
        <v>-1534.8200000000045</v>
      </c>
      <c r="I210" s="74"/>
      <c r="J210" s="74"/>
      <c r="K210" s="74"/>
      <c r="L210" s="74"/>
      <c r="M210" s="70"/>
      <c r="N210" s="70"/>
      <c r="O210" s="70"/>
      <c r="P210" s="70"/>
      <c r="Q210" s="70"/>
      <c r="R210" s="70"/>
      <c r="S210" s="70"/>
      <c r="T210" s="70"/>
      <c r="U210" s="70"/>
      <c r="V210" s="70"/>
      <c r="W210" s="70"/>
      <c r="X210" s="70"/>
      <c r="Y210" s="70"/>
      <c r="Z210" s="70"/>
      <c r="AA210" s="70"/>
      <c r="AB210" s="28"/>
      <c r="AC210" s="323" t="str">
        <f t="shared" ref="AC210:AC239" si="9">IF(SUM(I210:AA210)=G210,"Ok","Error")</f>
        <v>Ok</v>
      </c>
      <c r="AD210" s="72"/>
    </row>
    <row r="211" spans="1:30">
      <c r="A211" s="67"/>
      <c r="B211" s="68"/>
      <c r="C211" s="92"/>
      <c r="D211" s="68"/>
      <c r="E211" s="68"/>
      <c r="F211" s="68"/>
      <c r="G211" s="69"/>
      <c r="H211" s="69">
        <f t="shared" si="8"/>
        <v>-1534.8200000000045</v>
      </c>
      <c r="I211" s="74"/>
      <c r="J211" s="74"/>
      <c r="K211" s="74"/>
      <c r="L211" s="74"/>
      <c r="M211" s="70"/>
      <c r="N211" s="70"/>
      <c r="O211" s="70"/>
      <c r="P211" s="70"/>
      <c r="Q211" s="70"/>
      <c r="R211" s="70"/>
      <c r="S211" s="70"/>
      <c r="T211" s="70"/>
      <c r="U211" s="70"/>
      <c r="V211" s="70"/>
      <c r="W211" s="70"/>
      <c r="X211" s="70"/>
      <c r="Y211" s="70"/>
      <c r="Z211" s="70"/>
      <c r="AA211" s="70"/>
      <c r="AB211" s="28"/>
      <c r="AC211" s="323" t="str">
        <f t="shared" si="9"/>
        <v>Ok</v>
      </c>
      <c r="AD211" s="72"/>
    </row>
    <row r="212" spans="1:30">
      <c r="A212" s="67"/>
      <c r="B212" s="68"/>
      <c r="C212" s="92"/>
      <c r="D212" s="68"/>
      <c r="E212" s="68"/>
      <c r="F212" s="68"/>
      <c r="G212" s="69"/>
      <c r="H212" s="69">
        <f t="shared" si="8"/>
        <v>-1534.8200000000045</v>
      </c>
      <c r="I212" s="74"/>
      <c r="J212" s="74"/>
      <c r="K212" s="74"/>
      <c r="L212" s="74"/>
      <c r="M212" s="70"/>
      <c r="N212" s="70"/>
      <c r="O212" s="70"/>
      <c r="P212" s="70"/>
      <c r="Q212" s="70"/>
      <c r="R212" s="70"/>
      <c r="S212" s="70"/>
      <c r="T212" s="70"/>
      <c r="U212" s="70"/>
      <c r="V212" s="70"/>
      <c r="W212" s="70"/>
      <c r="X212" s="70"/>
      <c r="Y212" s="70"/>
      <c r="Z212" s="70"/>
      <c r="AA212" s="70"/>
      <c r="AB212" s="28"/>
      <c r="AC212" s="323" t="str">
        <f t="shared" si="9"/>
        <v>Ok</v>
      </c>
      <c r="AD212" s="72"/>
    </row>
    <row r="213" spans="1:30">
      <c r="A213" s="67"/>
      <c r="B213" s="68"/>
      <c r="C213" s="92"/>
      <c r="D213" s="68"/>
      <c r="E213" s="68"/>
      <c r="F213" s="68"/>
      <c r="G213" s="69"/>
      <c r="H213" s="69">
        <f t="shared" si="8"/>
        <v>-1534.8200000000045</v>
      </c>
      <c r="I213" s="74"/>
      <c r="J213" s="74"/>
      <c r="K213" s="74"/>
      <c r="L213" s="74"/>
      <c r="M213" s="70"/>
      <c r="N213" s="70"/>
      <c r="O213" s="70"/>
      <c r="P213" s="70"/>
      <c r="Q213" s="70"/>
      <c r="R213" s="70"/>
      <c r="S213" s="70"/>
      <c r="T213" s="70"/>
      <c r="U213" s="70"/>
      <c r="V213" s="70"/>
      <c r="W213" s="70"/>
      <c r="X213" s="70"/>
      <c r="Y213" s="70"/>
      <c r="Z213" s="70"/>
      <c r="AA213" s="70"/>
      <c r="AB213" s="28"/>
      <c r="AC213" s="323" t="str">
        <f t="shared" si="9"/>
        <v>Ok</v>
      </c>
      <c r="AD213" s="72"/>
    </row>
    <row r="214" spans="1:30">
      <c r="A214" s="67"/>
      <c r="B214" s="68"/>
      <c r="C214" s="92"/>
      <c r="D214" s="68"/>
      <c r="E214" s="68"/>
      <c r="F214" s="68"/>
      <c r="G214" s="69"/>
      <c r="H214" s="69">
        <f t="shared" si="8"/>
        <v>-1534.8200000000045</v>
      </c>
      <c r="I214" s="74"/>
      <c r="J214" s="74"/>
      <c r="K214" s="74"/>
      <c r="L214" s="74"/>
      <c r="M214" s="70"/>
      <c r="N214" s="70"/>
      <c r="O214" s="70"/>
      <c r="P214" s="70"/>
      <c r="Q214" s="70"/>
      <c r="R214" s="70"/>
      <c r="S214" s="70"/>
      <c r="T214" s="70"/>
      <c r="U214" s="70"/>
      <c r="V214" s="70"/>
      <c r="W214" s="70"/>
      <c r="X214" s="70"/>
      <c r="Y214" s="70"/>
      <c r="Z214" s="70"/>
      <c r="AA214" s="70"/>
      <c r="AB214" s="28"/>
      <c r="AC214" s="323" t="str">
        <f t="shared" si="9"/>
        <v>Ok</v>
      </c>
      <c r="AD214" s="72"/>
    </row>
    <row r="215" spans="1:30">
      <c r="A215" s="67"/>
      <c r="B215" s="68"/>
      <c r="C215" s="92"/>
      <c r="D215" s="68"/>
      <c r="E215" s="68"/>
      <c r="F215" s="68"/>
      <c r="G215" s="69"/>
      <c r="H215" s="69">
        <f t="shared" si="8"/>
        <v>-1534.8200000000045</v>
      </c>
      <c r="I215" s="74"/>
      <c r="J215" s="74"/>
      <c r="K215" s="74"/>
      <c r="L215" s="74"/>
      <c r="M215" s="70"/>
      <c r="N215" s="70"/>
      <c r="O215" s="70"/>
      <c r="P215" s="70"/>
      <c r="Q215" s="70"/>
      <c r="R215" s="70"/>
      <c r="S215" s="70"/>
      <c r="T215" s="70"/>
      <c r="U215" s="70"/>
      <c r="V215" s="70"/>
      <c r="W215" s="70"/>
      <c r="X215" s="70"/>
      <c r="Y215" s="70"/>
      <c r="Z215" s="70"/>
      <c r="AA215" s="70"/>
      <c r="AB215" s="28"/>
      <c r="AC215" s="323" t="str">
        <f t="shared" si="9"/>
        <v>Ok</v>
      </c>
      <c r="AD215" s="72"/>
    </row>
    <row r="216" spans="1:30">
      <c r="A216" s="67"/>
      <c r="B216" s="68"/>
      <c r="C216" s="92"/>
      <c r="D216" s="68"/>
      <c r="E216" s="68"/>
      <c r="F216" s="68"/>
      <c r="G216" s="69"/>
      <c r="H216" s="69">
        <f t="shared" si="8"/>
        <v>-1534.8200000000045</v>
      </c>
      <c r="I216" s="74"/>
      <c r="J216" s="74"/>
      <c r="K216" s="74"/>
      <c r="L216" s="74"/>
      <c r="M216" s="70"/>
      <c r="N216" s="70"/>
      <c r="O216" s="70"/>
      <c r="P216" s="70"/>
      <c r="Q216" s="70"/>
      <c r="R216" s="70"/>
      <c r="S216" s="70"/>
      <c r="T216" s="70"/>
      <c r="U216" s="70"/>
      <c r="V216" s="70"/>
      <c r="W216" s="70"/>
      <c r="X216" s="70"/>
      <c r="Y216" s="70"/>
      <c r="Z216" s="70"/>
      <c r="AA216" s="70"/>
      <c r="AB216" s="28"/>
      <c r="AC216" s="323" t="str">
        <f t="shared" si="9"/>
        <v>Ok</v>
      </c>
      <c r="AD216" s="72"/>
    </row>
    <row r="217" spans="1:30">
      <c r="A217" s="67"/>
      <c r="B217" s="68"/>
      <c r="C217" s="92"/>
      <c r="D217" s="68"/>
      <c r="E217" s="68"/>
      <c r="F217" s="68"/>
      <c r="G217" s="69"/>
      <c r="H217" s="69">
        <f t="shared" si="8"/>
        <v>-1534.8200000000045</v>
      </c>
      <c r="I217" s="74"/>
      <c r="J217" s="74"/>
      <c r="K217" s="74"/>
      <c r="L217" s="74"/>
      <c r="M217" s="70"/>
      <c r="N217" s="70"/>
      <c r="O217" s="70"/>
      <c r="P217" s="70"/>
      <c r="Q217" s="70"/>
      <c r="R217" s="70"/>
      <c r="S217" s="70"/>
      <c r="T217" s="70"/>
      <c r="U217" s="70"/>
      <c r="V217" s="70"/>
      <c r="W217" s="70"/>
      <c r="X217" s="70"/>
      <c r="Y217" s="70"/>
      <c r="Z217" s="70"/>
      <c r="AA217" s="70"/>
      <c r="AB217" s="28"/>
      <c r="AC217" s="323" t="str">
        <f t="shared" si="9"/>
        <v>Ok</v>
      </c>
      <c r="AD217" s="72"/>
    </row>
    <row r="218" spans="1:30">
      <c r="A218" s="67"/>
      <c r="B218" s="68"/>
      <c r="C218" s="321"/>
      <c r="D218" s="68"/>
      <c r="E218" s="68"/>
      <c r="F218" s="68"/>
      <c r="G218" s="69"/>
      <c r="H218" s="69">
        <f t="shared" si="8"/>
        <v>-1534.8200000000045</v>
      </c>
      <c r="I218" s="74"/>
      <c r="J218" s="74"/>
      <c r="K218" s="74"/>
      <c r="L218" s="74"/>
      <c r="M218" s="70"/>
      <c r="N218" s="70"/>
      <c r="O218" s="70"/>
      <c r="P218" s="70"/>
      <c r="Q218" s="70"/>
      <c r="R218" s="70"/>
      <c r="S218" s="70"/>
      <c r="T218" s="70"/>
      <c r="U218" s="70"/>
      <c r="V218" s="70"/>
      <c r="W218" s="70"/>
      <c r="X218" s="70"/>
      <c r="Y218" s="70"/>
      <c r="Z218" s="70"/>
      <c r="AA218" s="70"/>
      <c r="AB218" s="28"/>
      <c r="AC218" s="323" t="str">
        <f t="shared" si="9"/>
        <v>Ok</v>
      </c>
      <c r="AD218" s="72"/>
    </row>
    <row r="219" spans="1:30">
      <c r="A219" s="67"/>
      <c r="B219" s="68"/>
      <c r="C219" s="92"/>
      <c r="D219" s="68"/>
      <c r="E219" s="68"/>
      <c r="F219" s="68"/>
      <c r="G219" s="69"/>
      <c r="H219" s="69">
        <f t="shared" si="8"/>
        <v>-1534.8200000000045</v>
      </c>
      <c r="I219" s="74"/>
      <c r="J219" s="74"/>
      <c r="K219" s="74"/>
      <c r="L219" s="74"/>
      <c r="M219" s="70"/>
      <c r="N219" s="70"/>
      <c r="O219" s="70"/>
      <c r="P219" s="70"/>
      <c r="Q219" s="70"/>
      <c r="R219" s="70"/>
      <c r="S219" s="70"/>
      <c r="T219" s="70"/>
      <c r="U219" s="70"/>
      <c r="V219" s="70"/>
      <c r="W219" s="70"/>
      <c r="X219" s="70"/>
      <c r="Y219" s="70"/>
      <c r="Z219" s="70"/>
      <c r="AA219" s="70"/>
      <c r="AB219" s="28"/>
      <c r="AC219" s="323" t="str">
        <f t="shared" si="9"/>
        <v>Ok</v>
      </c>
      <c r="AD219" s="72"/>
    </row>
    <row r="220" spans="1:30">
      <c r="A220" s="67"/>
      <c r="B220" s="68"/>
      <c r="C220" s="92"/>
      <c r="D220" s="68"/>
      <c r="E220" s="68"/>
      <c r="F220" s="68"/>
      <c r="G220" s="69"/>
      <c r="H220" s="69">
        <f t="shared" si="8"/>
        <v>-1534.8200000000045</v>
      </c>
      <c r="I220" s="74"/>
      <c r="J220" s="74"/>
      <c r="K220" s="74"/>
      <c r="L220" s="74"/>
      <c r="M220" s="70"/>
      <c r="N220" s="70"/>
      <c r="O220" s="70"/>
      <c r="P220" s="70"/>
      <c r="Q220" s="70"/>
      <c r="R220" s="70"/>
      <c r="S220" s="70"/>
      <c r="T220" s="70"/>
      <c r="U220" s="70"/>
      <c r="V220" s="70"/>
      <c r="W220" s="70"/>
      <c r="X220" s="70"/>
      <c r="Y220" s="70"/>
      <c r="Z220" s="70"/>
      <c r="AA220" s="70"/>
      <c r="AB220" s="28"/>
      <c r="AC220" s="323" t="str">
        <f t="shared" si="9"/>
        <v>Ok</v>
      </c>
      <c r="AD220" s="72"/>
    </row>
    <row r="221" spans="1:30">
      <c r="A221" s="67"/>
      <c r="B221" s="68"/>
      <c r="C221" s="92"/>
      <c r="D221" s="68"/>
      <c r="E221" s="68"/>
      <c r="F221" s="68"/>
      <c r="G221" s="69"/>
      <c r="H221" s="69">
        <f t="shared" si="8"/>
        <v>-1534.8200000000045</v>
      </c>
      <c r="I221" s="74"/>
      <c r="J221" s="74"/>
      <c r="K221" s="74"/>
      <c r="L221" s="74"/>
      <c r="M221" s="70"/>
      <c r="N221" s="70"/>
      <c r="O221" s="70"/>
      <c r="P221" s="70"/>
      <c r="Q221" s="70"/>
      <c r="R221" s="70"/>
      <c r="S221" s="70"/>
      <c r="T221" s="70"/>
      <c r="U221" s="70"/>
      <c r="V221" s="70"/>
      <c r="W221" s="70"/>
      <c r="X221" s="70"/>
      <c r="Y221" s="70"/>
      <c r="Z221" s="70"/>
      <c r="AA221" s="70"/>
      <c r="AB221" s="28"/>
      <c r="AC221" s="323" t="str">
        <f t="shared" si="9"/>
        <v>Ok</v>
      </c>
      <c r="AD221" s="72"/>
    </row>
    <row r="222" spans="1:30">
      <c r="A222" s="67"/>
      <c r="B222" s="68"/>
      <c r="C222" s="92"/>
      <c r="D222" s="68"/>
      <c r="E222" s="68"/>
      <c r="F222" s="68"/>
      <c r="G222" s="69"/>
      <c r="H222" s="69">
        <f t="shared" si="8"/>
        <v>-1534.8200000000045</v>
      </c>
      <c r="I222" s="74"/>
      <c r="J222" s="74"/>
      <c r="K222" s="74"/>
      <c r="L222" s="74"/>
      <c r="M222" s="70"/>
      <c r="N222" s="70"/>
      <c r="O222" s="70"/>
      <c r="P222" s="70"/>
      <c r="Q222" s="70"/>
      <c r="R222" s="70"/>
      <c r="S222" s="70"/>
      <c r="T222" s="70"/>
      <c r="U222" s="70"/>
      <c r="V222" s="70"/>
      <c r="W222" s="70"/>
      <c r="X222" s="70"/>
      <c r="Y222" s="70"/>
      <c r="Z222" s="70"/>
      <c r="AA222" s="70"/>
      <c r="AB222" s="28"/>
      <c r="AC222" s="323" t="str">
        <f t="shared" si="9"/>
        <v>Ok</v>
      </c>
      <c r="AD222" s="72"/>
    </row>
    <row r="223" spans="1:30">
      <c r="A223" s="67"/>
      <c r="B223" s="68"/>
      <c r="C223" s="92"/>
      <c r="D223" s="68"/>
      <c r="E223" s="68"/>
      <c r="F223" s="68"/>
      <c r="G223" s="69"/>
      <c r="H223" s="69">
        <f t="shared" si="8"/>
        <v>-1534.8200000000045</v>
      </c>
      <c r="I223" s="74"/>
      <c r="J223" s="74"/>
      <c r="K223" s="74"/>
      <c r="L223" s="74"/>
      <c r="M223" s="70"/>
      <c r="N223" s="70"/>
      <c r="O223" s="70"/>
      <c r="P223" s="70"/>
      <c r="Q223" s="70"/>
      <c r="R223" s="70"/>
      <c r="S223" s="70"/>
      <c r="T223" s="70"/>
      <c r="U223" s="70"/>
      <c r="V223" s="70"/>
      <c r="W223" s="70"/>
      <c r="X223" s="70"/>
      <c r="Y223" s="70"/>
      <c r="Z223" s="70"/>
      <c r="AA223" s="70"/>
      <c r="AB223" s="28"/>
      <c r="AC223" s="323" t="str">
        <f t="shared" si="9"/>
        <v>Ok</v>
      </c>
      <c r="AD223" s="72"/>
    </row>
    <row r="224" spans="1:30">
      <c r="A224" s="67"/>
      <c r="B224" s="68"/>
      <c r="C224" s="92"/>
      <c r="D224" s="68"/>
      <c r="E224" s="68"/>
      <c r="F224" s="68"/>
      <c r="G224" s="69"/>
      <c r="H224" s="69">
        <f t="shared" si="8"/>
        <v>-1534.8200000000045</v>
      </c>
      <c r="I224" s="74"/>
      <c r="J224" s="74"/>
      <c r="K224" s="74"/>
      <c r="L224" s="74"/>
      <c r="M224" s="70"/>
      <c r="N224" s="70"/>
      <c r="O224" s="70"/>
      <c r="P224" s="70"/>
      <c r="Q224" s="70"/>
      <c r="R224" s="70"/>
      <c r="S224" s="70"/>
      <c r="T224" s="70"/>
      <c r="U224" s="70"/>
      <c r="V224" s="70"/>
      <c r="W224" s="70"/>
      <c r="X224" s="70"/>
      <c r="Y224" s="70"/>
      <c r="Z224" s="70"/>
      <c r="AA224" s="70"/>
      <c r="AB224" s="28"/>
      <c r="AC224" s="323" t="str">
        <f t="shared" si="9"/>
        <v>Ok</v>
      </c>
      <c r="AD224" s="72"/>
    </row>
    <row r="225" spans="1:30">
      <c r="A225" s="67"/>
      <c r="B225" s="68"/>
      <c r="C225" s="68"/>
      <c r="D225" s="68"/>
      <c r="E225" s="68"/>
      <c r="F225" s="68"/>
      <c r="G225" s="69"/>
      <c r="H225" s="69">
        <f t="shared" si="8"/>
        <v>-1534.8200000000045</v>
      </c>
      <c r="I225" s="74"/>
      <c r="J225" s="74"/>
      <c r="K225" s="74"/>
      <c r="L225" s="74"/>
      <c r="M225" s="70"/>
      <c r="N225" s="70"/>
      <c r="O225" s="70"/>
      <c r="P225" s="70"/>
      <c r="Q225" s="70"/>
      <c r="R225" s="70"/>
      <c r="S225" s="70"/>
      <c r="T225" s="70"/>
      <c r="U225" s="70"/>
      <c r="V225" s="70"/>
      <c r="W225" s="70"/>
      <c r="X225" s="70"/>
      <c r="Y225" s="70"/>
      <c r="Z225" s="70"/>
      <c r="AA225" s="70"/>
      <c r="AB225" s="28"/>
      <c r="AC225" s="323" t="str">
        <f t="shared" si="9"/>
        <v>Ok</v>
      </c>
      <c r="AD225" s="72"/>
    </row>
    <row r="226" spans="1:30">
      <c r="A226" s="67"/>
      <c r="B226" s="68"/>
      <c r="C226" s="68"/>
      <c r="D226" s="68"/>
      <c r="E226" s="68"/>
      <c r="F226" s="68"/>
      <c r="G226" s="69"/>
      <c r="H226" s="69">
        <f t="shared" si="8"/>
        <v>-1534.8200000000045</v>
      </c>
      <c r="I226" s="74"/>
      <c r="J226" s="74"/>
      <c r="K226" s="74"/>
      <c r="L226" s="74"/>
      <c r="M226" s="70"/>
      <c r="N226" s="70"/>
      <c r="O226" s="70"/>
      <c r="P226" s="70"/>
      <c r="Q226" s="70"/>
      <c r="R226" s="70"/>
      <c r="S226" s="70"/>
      <c r="T226" s="70"/>
      <c r="U226" s="70"/>
      <c r="V226" s="70"/>
      <c r="W226" s="70"/>
      <c r="X226" s="70"/>
      <c r="Y226" s="70"/>
      <c r="Z226" s="70"/>
      <c r="AA226" s="70"/>
      <c r="AB226" s="28"/>
      <c r="AC226" s="323" t="str">
        <f t="shared" si="9"/>
        <v>Ok</v>
      </c>
      <c r="AD226" s="72"/>
    </row>
    <row r="227" spans="1:30">
      <c r="A227" s="67"/>
      <c r="B227" s="68"/>
      <c r="C227" s="68"/>
      <c r="D227" s="68"/>
      <c r="E227" s="68"/>
      <c r="F227" s="68"/>
      <c r="G227" s="69"/>
      <c r="H227" s="69">
        <f t="shared" si="8"/>
        <v>-1534.8200000000045</v>
      </c>
      <c r="I227" s="74"/>
      <c r="J227" s="74"/>
      <c r="K227" s="74"/>
      <c r="L227" s="74"/>
      <c r="M227" s="70"/>
      <c r="N227" s="70"/>
      <c r="O227" s="70"/>
      <c r="P227" s="70"/>
      <c r="Q227" s="70"/>
      <c r="R227" s="70"/>
      <c r="S227" s="70"/>
      <c r="T227" s="70"/>
      <c r="U227" s="70"/>
      <c r="V227" s="70"/>
      <c r="W227" s="70"/>
      <c r="X227" s="70"/>
      <c r="Y227" s="70"/>
      <c r="Z227" s="70"/>
      <c r="AA227" s="70"/>
      <c r="AB227" s="28"/>
      <c r="AC227" s="323" t="str">
        <f t="shared" si="9"/>
        <v>Ok</v>
      </c>
      <c r="AD227" s="72"/>
    </row>
    <row r="228" spans="1:30">
      <c r="A228" s="67"/>
      <c r="B228" s="68"/>
      <c r="C228" s="68"/>
      <c r="D228" s="68"/>
      <c r="E228" s="68"/>
      <c r="F228" s="68"/>
      <c r="G228" s="69"/>
      <c r="H228" s="69">
        <f t="shared" si="8"/>
        <v>-1534.8200000000045</v>
      </c>
      <c r="I228" s="74"/>
      <c r="J228" s="74"/>
      <c r="K228" s="74"/>
      <c r="L228" s="74"/>
      <c r="M228" s="70"/>
      <c r="N228" s="70"/>
      <c r="O228" s="70"/>
      <c r="P228" s="70"/>
      <c r="Q228" s="70"/>
      <c r="R228" s="70"/>
      <c r="S228" s="70"/>
      <c r="T228" s="70"/>
      <c r="U228" s="70"/>
      <c r="V228" s="70"/>
      <c r="W228" s="70"/>
      <c r="X228" s="70"/>
      <c r="Y228" s="70"/>
      <c r="Z228" s="70"/>
      <c r="AA228" s="70"/>
      <c r="AB228" s="28"/>
      <c r="AC228" s="323" t="str">
        <f t="shared" si="9"/>
        <v>Ok</v>
      </c>
      <c r="AD228" s="72"/>
    </row>
    <row r="229" spans="1:30">
      <c r="A229" s="67"/>
      <c r="B229" s="68"/>
      <c r="C229" s="68"/>
      <c r="D229" s="68"/>
      <c r="E229" s="68"/>
      <c r="F229" s="68"/>
      <c r="G229" s="69"/>
      <c r="H229" s="69">
        <f t="shared" ref="H229:H239" si="10">H228+IF(B229="Yes",G229,0)</f>
        <v>-1534.8200000000045</v>
      </c>
      <c r="I229" s="74"/>
      <c r="J229" s="74"/>
      <c r="K229" s="74"/>
      <c r="L229" s="74"/>
      <c r="M229" s="70"/>
      <c r="N229" s="70"/>
      <c r="O229" s="70"/>
      <c r="P229" s="70"/>
      <c r="Q229" s="70"/>
      <c r="R229" s="70"/>
      <c r="S229" s="70"/>
      <c r="T229" s="70"/>
      <c r="U229" s="70"/>
      <c r="V229" s="70"/>
      <c r="W229" s="70"/>
      <c r="X229" s="70"/>
      <c r="Y229" s="70"/>
      <c r="Z229" s="70"/>
      <c r="AA229" s="70"/>
      <c r="AB229" s="28"/>
      <c r="AC229" s="323" t="str">
        <f t="shared" si="9"/>
        <v>Ok</v>
      </c>
      <c r="AD229" s="72"/>
    </row>
    <row r="230" spans="1:30">
      <c r="A230" s="67"/>
      <c r="B230" s="68"/>
      <c r="C230" s="68"/>
      <c r="D230" s="68"/>
      <c r="E230" s="68"/>
      <c r="F230" s="68"/>
      <c r="G230" s="69"/>
      <c r="H230" s="69">
        <f t="shared" si="10"/>
        <v>-1534.8200000000045</v>
      </c>
      <c r="I230" s="74"/>
      <c r="J230" s="74"/>
      <c r="K230" s="74"/>
      <c r="L230" s="74"/>
      <c r="M230" s="70"/>
      <c r="N230" s="70"/>
      <c r="O230" s="70"/>
      <c r="P230" s="70"/>
      <c r="Q230" s="70"/>
      <c r="R230" s="70"/>
      <c r="S230" s="70"/>
      <c r="T230" s="70"/>
      <c r="U230" s="70"/>
      <c r="V230" s="70"/>
      <c r="W230" s="70"/>
      <c r="X230" s="70"/>
      <c r="Y230" s="70"/>
      <c r="Z230" s="70"/>
      <c r="AA230" s="70"/>
      <c r="AB230" s="28"/>
      <c r="AC230" s="323" t="str">
        <f t="shared" si="9"/>
        <v>Ok</v>
      </c>
      <c r="AD230" s="72"/>
    </row>
    <row r="231" spans="1:30">
      <c r="A231" s="67"/>
      <c r="B231" s="68"/>
      <c r="C231" s="68"/>
      <c r="D231" s="68"/>
      <c r="E231" s="68"/>
      <c r="F231" s="68"/>
      <c r="G231" s="69"/>
      <c r="H231" s="69">
        <f t="shared" si="10"/>
        <v>-1534.8200000000045</v>
      </c>
      <c r="I231" s="74"/>
      <c r="J231" s="74"/>
      <c r="K231" s="74"/>
      <c r="L231" s="74"/>
      <c r="M231" s="70"/>
      <c r="N231" s="70"/>
      <c r="O231" s="70"/>
      <c r="P231" s="70"/>
      <c r="Q231" s="70"/>
      <c r="R231" s="70"/>
      <c r="S231" s="70"/>
      <c r="T231" s="70"/>
      <c r="U231" s="70"/>
      <c r="V231" s="70"/>
      <c r="W231" s="70"/>
      <c r="X231" s="70"/>
      <c r="Y231" s="70"/>
      <c r="Z231" s="70"/>
      <c r="AA231" s="70"/>
      <c r="AB231" s="28"/>
      <c r="AC231" s="323" t="str">
        <f t="shared" si="9"/>
        <v>Ok</v>
      </c>
      <c r="AD231" s="72"/>
    </row>
    <row r="232" spans="1:30">
      <c r="A232" s="67"/>
      <c r="B232" s="68"/>
      <c r="C232" s="68"/>
      <c r="D232" s="68"/>
      <c r="E232" s="68"/>
      <c r="F232" s="68"/>
      <c r="G232" s="69"/>
      <c r="H232" s="69">
        <f t="shared" si="10"/>
        <v>-1534.8200000000045</v>
      </c>
      <c r="I232" s="74"/>
      <c r="J232" s="74"/>
      <c r="K232" s="74"/>
      <c r="L232" s="74"/>
      <c r="M232" s="70"/>
      <c r="N232" s="70"/>
      <c r="O232" s="70"/>
      <c r="P232" s="70"/>
      <c r="Q232" s="70"/>
      <c r="R232" s="70"/>
      <c r="S232" s="70"/>
      <c r="T232" s="70"/>
      <c r="U232" s="70"/>
      <c r="V232" s="70"/>
      <c r="W232" s="70"/>
      <c r="X232" s="70"/>
      <c r="Y232" s="70"/>
      <c r="Z232" s="70"/>
      <c r="AA232" s="70"/>
      <c r="AB232" s="28"/>
      <c r="AC232" s="323" t="str">
        <f t="shared" si="9"/>
        <v>Ok</v>
      </c>
      <c r="AD232" s="72"/>
    </row>
    <row r="233" spans="1:30">
      <c r="A233" s="67"/>
      <c r="B233" s="68"/>
      <c r="C233" s="68"/>
      <c r="D233" s="68"/>
      <c r="E233" s="68"/>
      <c r="F233" s="68"/>
      <c r="G233" s="69"/>
      <c r="H233" s="69">
        <f t="shared" si="10"/>
        <v>-1534.8200000000045</v>
      </c>
      <c r="I233" s="74"/>
      <c r="J233" s="74"/>
      <c r="K233" s="74"/>
      <c r="L233" s="74"/>
      <c r="M233" s="70"/>
      <c r="N233" s="70"/>
      <c r="O233" s="70"/>
      <c r="P233" s="70"/>
      <c r="Q233" s="70"/>
      <c r="R233" s="70"/>
      <c r="S233" s="70"/>
      <c r="T233" s="70"/>
      <c r="U233" s="70"/>
      <c r="V233" s="70"/>
      <c r="W233" s="70"/>
      <c r="X233" s="70"/>
      <c r="Y233" s="70"/>
      <c r="Z233" s="70"/>
      <c r="AA233" s="70"/>
      <c r="AB233" s="28"/>
      <c r="AC233" s="323" t="str">
        <f t="shared" si="9"/>
        <v>Ok</v>
      </c>
      <c r="AD233" s="72"/>
    </row>
    <row r="234" spans="1:30">
      <c r="A234" s="67"/>
      <c r="B234" s="68"/>
      <c r="C234" s="68"/>
      <c r="D234" s="68"/>
      <c r="E234" s="68"/>
      <c r="F234" s="68"/>
      <c r="G234" s="69"/>
      <c r="H234" s="69">
        <f t="shared" si="10"/>
        <v>-1534.8200000000045</v>
      </c>
      <c r="I234" s="74"/>
      <c r="J234" s="74"/>
      <c r="K234" s="74"/>
      <c r="L234" s="74"/>
      <c r="M234" s="70"/>
      <c r="N234" s="70"/>
      <c r="O234" s="70"/>
      <c r="P234" s="70"/>
      <c r="Q234" s="70"/>
      <c r="R234" s="70"/>
      <c r="S234" s="70"/>
      <c r="T234" s="70"/>
      <c r="U234" s="70"/>
      <c r="V234" s="70"/>
      <c r="W234" s="70"/>
      <c r="X234" s="70"/>
      <c r="Y234" s="70"/>
      <c r="Z234" s="70"/>
      <c r="AA234" s="70"/>
      <c r="AB234" s="28"/>
      <c r="AC234" s="323" t="str">
        <f t="shared" si="9"/>
        <v>Ok</v>
      </c>
      <c r="AD234" s="72"/>
    </row>
    <row r="235" spans="1:30">
      <c r="A235" s="67"/>
      <c r="B235" s="68"/>
      <c r="C235" s="68"/>
      <c r="D235" s="68"/>
      <c r="E235" s="68"/>
      <c r="F235" s="68"/>
      <c r="G235" s="69"/>
      <c r="H235" s="69">
        <f t="shared" si="10"/>
        <v>-1534.8200000000045</v>
      </c>
      <c r="I235" s="74"/>
      <c r="J235" s="74"/>
      <c r="K235" s="74"/>
      <c r="L235" s="74"/>
      <c r="M235" s="70"/>
      <c r="N235" s="70"/>
      <c r="O235" s="70"/>
      <c r="P235" s="70"/>
      <c r="Q235" s="70"/>
      <c r="R235" s="70"/>
      <c r="S235" s="70"/>
      <c r="T235" s="70"/>
      <c r="U235" s="70"/>
      <c r="V235" s="70"/>
      <c r="W235" s="70"/>
      <c r="X235" s="70"/>
      <c r="Y235" s="70"/>
      <c r="Z235" s="70"/>
      <c r="AA235" s="70"/>
      <c r="AB235" s="28"/>
      <c r="AC235" s="323" t="str">
        <f t="shared" si="9"/>
        <v>Ok</v>
      </c>
      <c r="AD235" s="72"/>
    </row>
    <row r="236" spans="1:30">
      <c r="A236" s="67"/>
      <c r="B236" s="68"/>
      <c r="C236" s="68"/>
      <c r="D236" s="68"/>
      <c r="E236" s="68"/>
      <c r="F236" s="68"/>
      <c r="G236" s="69"/>
      <c r="H236" s="69">
        <f t="shared" si="10"/>
        <v>-1534.8200000000045</v>
      </c>
      <c r="I236" s="74"/>
      <c r="J236" s="74"/>
      <c r="K236" s="74"/>
      <c r="L236" s="74"/>
      <c r="M236" s="70"/>
      <c r="N236" s="70"/>
      <c r="O236" s="70"/>
      <c r="P236" s="70"/>
      <c r="Q236" s="70"/>
      <c r="R236" s="70"/>
      <c r="S236" s="70"/>
      <c r="T236" s="70"/>
      <c r="U236" s="70"/>
      <c r="V236" s="70"/>
      <c r="W236" s="70"/>
      <c r="X236" s="70"/>
      <c r="Y236" s="70"/>
      <c r="Z236" s="70"/>
      <c r="AA236" s="70"/>
      <c r="AB236" s="28"/>
      <c r="AC236" s="323" t="str">
        <f t="shared" si="9"/>
        <v>Ok</v>
      </c>
      <c r="AD236" s="72"/>
    </row>
    <row r="237" spans="1:30">
      <c r="A237" s="67"/>
      <c r="B237" s="68"/>
      <c r="C237" s="68"/>
      <c r="D237" s="68"/>
      <c r="E237" s="68"/>
      <c r="F237" s="68"/>
      <c r="G237" s="69"/>
      <c r="H237" s="69">
        <f t="shared" si="10"/>
        <v>-1534.8200000000045</v>
      </c>
      <c r="I237" s="74"/>
      <c r="J237" s="74"/>
      <c r="K237" s="74"/>
      <c r="L237" s="74"/>
      <c r="M237" s="70"/>
      <c r="N237" s="70"/>
      <c r="O237" s="70"/>
      <c r="P237" s="70"/>
      <c r="Q237" s="70"/>
      <c r="R237" s="70"/>
      <c r="S237" s="70"/>
      <c r="T237" s="70"/>
      <c r="U237" s="70"/>
      <c r="V237" s="70"/>
      <c r="W237" s="70"/>
      <c r="X237" s="70"/>
      <c r="Y237" s="70"/>
      <c r="Z237" s="70"/>
      <c r="AA237" s="70"/>
      <c r="AB237" s="28"/>
      <c r="AC237" s="323" t="str">
        <f t="shared" si="9"/>
        <v>Ok</v>
      </c>
      <c r="AD237" s="72"/>
    </row>
    <row r="238" spans="1:30">
      <c r="A238" s="67"/>
      <c r="B238" s="68"/>
      <c r="C238" s="68"/>
      <c r="D238" s="68"/>
      <c r="E238" s="68"/>
      <c r="F238" s="68"/>
      <c r="G238" s="69"/>
      <c r="H238" s="69">
        <f t="shared" si="10"/>
        <v>-1534.8200000000045</v>
      </c>
      <c r="I238" s="74"/>
      <c r="J238" s="74"/>
      <c r="K238" s="74"/>
      <c r="L238" s="74"/>
      <c r="M238" s="70"/>
      <c r="N238" s="70"/>
      <c r="O238" s="70"/>
      <c r="P238" s="70"/>
      <c r="Q238" s="70"/>
      <c r="R238" s="70"/>
      <c r="S238" s="70"/>
      <c r="T238" s="70"/>
      <c r="U238" s="70"/>
      <c r="V238" s="70"/>
      <c r="W238" s="70"/>
      <c r="X238" s="70"/>
      <c r="Y238" s="70"/>
      <c r="Z238" s="70"/>
      <c r="AA238" s="70"/>
      <c r="AB238" s="28"/>
      <c r="AC238" s="323" t="str">
        <f t="shared" si="9"/>
        <v>Ok</v>
      </c>
      <c r="AD238" s="72"/>
    </row>
    <row r="239" spans="1:30">
      <c r="A239" s="75"/>
      <c r="B239" s="76"/>
      <c r="C239" s="76"/>
      <c r="D239" s="76"/>
      <c r="E239" s="76"/>
      <c r="F239" s="76"/>
      <c r="G239" s="69"/>
      <c r="H239" s="69">
        <f t="shared" si="10"/>
        <v>-1534.8200000000045</v>
      </c>
      <c r="I239" s="77"/>
      <c r="J239" s="77"/>
      <c r="K239" s="77"/>
      <c r="L239" s="77"/>
      <c r="M239" s="70"/>
      <c r="N239" s="70"/>
      <c r="O239" s="70"/>
      <c r="P239" s="70"/>
      <c r="Q239" s="70"/>
      <c r="R239" s="70"/>
      <c r="S239" s="70"/>
      <c r="T239" s="70"/>
      <c r="U239" s="70"/>
      <c r="V239" s="70"/>
      <c r="W239" s="70"/>
      <c r="X239" s="70"/>
      <c r="Y239" s="70"/>
      <c r="Z239" s="70"/>
      <c r="AA239" s="70"/>
      <c r="AB239" s="28"/>
      <c r="AC239" s="323" t="str">
        <f t="shared" si="9"/>
        <v>Ok</v>
      </c>
      <c r="AD239" s="78"/>
    </row>
    <row r="240" spans="1:30" ht="13.5" thickBot="1"/>
    <row r="241" spans="1:27" ht="14.25" thickTop="1" thickBot="1">
      <c r="A241" t="s">
        <v>13</v>
      </c>
      <c r="G241" s="79">
        <f>SUM(G3:G239)</f>
        <v>-1573.8200000000011</v>
      </c>
      <c r="H241" s="79">
        <f>H239</f>
        <v>-1534.8200000000045</v>
      </c>
      <c r="I241" s="79">
        <f t="shared" ref="I241:AA241" si="11">SUM(I3:I239)</f>
        <v>6700</v>
      </c>
      <c r="J241" s="79">
        <f t="shared" si="11"/>
        <v>6200</v>
      </c>
      <c r="K241" s="79">
        <f t="shared" si="11"/>
        <v>-1024.97</v>
      </c>
      <c r="L241" s="79">
        <f t="shared" si="11"/>
        <v>-3075.71</v>
      </c>
      <c r="M241" s="79">
        <f t="shared" si="11"/>
        <v>631</v>
      </c>
      <c r="N241" s="79">
        <f t="shared" si="11"/>
        <v>-243</v>
      </c>
      <c r="O241" s="79">
        <f t="shared" si="11"/>
        <v>-3955</v>
      </c>
      <c r="P241" s="79">
        <f t="shared" si="11"/>
        <v>-3601.54</v>
      </c>
      <c r="Q241" s="79">
        <f t="shared" si="11"/>
        <v>-171.38</v>
      </c>
      <c r="R241" s="79">
        <f t="shared" si="11"/>
        <v>8.1999999999998749</v>
      </c>
      <c r="S241" s="79">
        <f t="shared" si="11"/>
        <v>2091</v>
      </c>
      <c r="T241" s="79">
        <f>SUM(T3:T239)</f>
        <v>-4814.0499999999993</v>
      </c>
      <c r="U241" s="79">
        <f t="shared" si="11"/>
        <v>0</v>
      </c>
      <c r="V241" s="79">
        <f t="shared" si="11"/>
        <v>0</v>
      </c>
      <c r="W241" s="79">
        <f t="shared" si="11"/>
        <v>-410.53</v>
      </c>
      <c r="X241" s="79">
        <f t="shared" si="11"/>
        <v>0</v>
      </c>
      <c r="Y241" s="79">
        <f t="shared" si="11"/>
        <v>0</v>
      </c>
      <c r="Z241" s="79">
        <f t="shared" si="11"/>
        <v>0</v>
      </c>
      <c r="AA241" s="79">
        <f t="shared" si="11"/>
        <v>-250.4</v>
      </c>
    </row>
    <row r="242" spans="1:27" ht="13.5" thickTop="1"/>
    <row r="243" spans="1:27">
      <c r="A243" t="s">
        <v>199</v>
      </c>
      <c r="I243" s="57">
        <f>Budget!E3</f>
        <v>6650</v>
      </c>
      <c r="J243" s="57">
        <v>0</v>
      </c>
      <c r="K243" s="57">
        <f>-Budget!E11</f>
        <v>-937.19</v>
      </c>
      <c r="L243" s="57">
        <f>-Budget!E12</f>
        <v>-3000</v>
      </c>
      <c r="M243" s="57">
        <f>Budget!E4</f>
        <v>3100</v>
      </c>
      <c r="N243" s="57">
        <f>-Budget!E13</f>
        <v>-300</v>
      </c>
      <c r="O243" s="57">
        <f>-Budget!E14</f>
        <v>-3762.6</v>
      </c>
      <c r="P243" s="57">
        <f>-Budget!E15</f>
        <v>-3100</v>
      </c>
      <c r="Q243" s="57">
        <f>-Budget!E16</f>
        <v>-750</v>
      </c>
      <c r="R243" s="57">
        <f>-Budget!E17</f>
        <v>0</v>
      </c>
      <c r="S243" s="57">
        <f>Budget!E5-Budget!E18</f>
        <v>1400</v>
      </c>
      <c r="T243" s="57">
        <f>-Budget!E19</f>
        <v>-6410</v>
      </c>
      <c r="U243" s="57">
        <f>-Budget!E20</f>
        <v>-350</v>
      </c>
      <c r="V243" s="57">
        <f>Budget!E6-Budget!E22</f>
        <v>0</v>
      </c>
      <c r="W243" s="57">
        <f>-Budget!E21</f>
        <v>-100</v>
      </c>
      <c r="X243" s="57">
        <f>-Budget!E23</f>
        <v>0</v>
      </c>
      <c r="Y243" s="57">
        <v>0</v>
      </c>
      <c r="Z243" s="57">
        <v>0</v>
      </c>
      <c r="AA243" s="57">
        <f>-Budget!E24</f>
        <v>-570</v>
      </c>
    </row>
    <row r="245" spans="1:27">
      <c r="A245" t="s">
        <v>200</v>
      </c>
      <c r="I245" s="57">
        <f>I243-I241</f>
        <v>-50</v>
      </c>
      <c r="J245" s="57">
        <f t="shared" ref="J245:AA245" si="12">J243-J241</f>
        <v>-6200</v>
      </c>
      <c r="K245" s="57">
        <f t="shared" si="12"/>
        <v>87.779999999999973</v>
      </c>
      <c r="L245" s="57">
        <f t="shared" si="12"/>
        <v>75.710000000000036</v>
      </c>
      <c r="M245" s="57">
        <f t="shared" si="12"/>
        <v>2469</v>
      </c>
      <c r="N245" s="57">
        <f t="shared" si="12"/>
        <v>-57</v>
      </c>
      <c r="O245" s="57">
        <f t="shared" si="12"/>
        <v>192.40000000000009</v>
      </c>
      <c r="P245" s="57">
        <f t="shared" si="12"/>
        <v>501.53999999999996</v>
      </c>
      <c r="Q245" s="57">
        <f t="shared" si="12"/>
        <v>-578.62</v>
      </c>
      <c r="R245" s="57">
        <f t="shared" si="12"/>
        <v>-8.1999999999998749</v>
      </c>
      <c r="S245" s="57">
        <f t="shared" si="12"/>
        <v>-691</v>
      </c>
      <c r="T245" s="57">
        <f t="shared" si="12"/>
        <v>-1595.9500000000007</v>
      </c>
      <c r="U245" s="57">
        <f t="shared" si="12"/>
        <v>-350</v>
      </c>
      <c r="V245" s="57">
        <f t="shared" si="12"/>
        <v>0</v>
      </c>
      <c r="W245" s="57">
        <f t="shared" si="12"/>
        <v>310.52999999999997</v>
      </c>
      <c r="X245" s="57">
        <f t="shared" si="12"/>
        <v>0</v>
      </c>
      <c r="Y245" s="57">
        <f>Y243-Y241</f>
        <v>0</v>
      </c>
      <c r="Z245" s="57">
        <f>Z243-Z241</f>
        <v>0</v>
      </c>
      <c r="AA245" s="57">
        <f t="shared" si="12"/>
        <v>-319.60000000000002</v>
      </c>
    </row>
    <row r="246" spans="1:27">
      <c r="A246" t="s">
        <v>201</v>
      </c>
      <c r="I246">
        <f>I245/I243</f>
        <v>-7.5187969924812026E-3</v>
      </c>
      <c r="J246" t="s">
        <v>202</v>
      </c>
      <c r="K246">
        <f t="shared" ref="K246:AA246" si="13">K245/K243</f>
        <v>-9.3662971222484195E-2</v>
      </c>
      <c r="L246">
        <f t="shared" si="13"/>
        <v>-2.5236666666666678E-2</v>
      </c>
      <c r="M246">
        <f t="shared" si="13"/>
        <v>0.79645161290322586</v>
      </c>
      <c r="N246">
        <f t="shared" si="13"/>
        <v>0.19</v>
      </c>
      <c r="O246">
        <f t="shared" si="13"/>
        <v>-5.1134853558709427E-2</v>
      </c>
      <c r="P246">
        <f t="shared" si="13"/>
        <v>-0.16178709677419353</v>
      </c>
      <c r="Q246">
        <f t="shared" si="13"/>
        <v>0.77149333333333336</v>
      </c>
      <c r="R246" t="e">
        <f t="shared" si="13"/>
        <v>#DIV/0!</v>
      </c>
      <c r="S246">
        <f t="shared" si="13"/>
        <v>-0.49357142857142855</v>
      </c>
      <c r="T246">
        <f t="shared" si="13"/>
        <v>0.24897815912636517</v>
      </c>
      <c r="U246">
        <f t="shared" si="13"/>
        <v>1</v>
      </c>
      <c r="V246" t="e">
        <f t="shared" si="13"/>
        <v>#DIV/0!</v>
      </c>
      <c r="W246">
        <f t="shared" si="13"/>
        <v>-3.1052999999999997</v>
      </c>
      <c r="X246" t="e">
        <f t="shared" si="13"/>
        <v>#DIV/0!</v>
      </c>
      <c r="Z246" t="e">
        <f t="shared" si="13"/>
        <v>#DIV/0!</v>
      </c>
      <c r="AA246">
        <f t="shared" si="13"/>
        <v>0.56070175438596492</v>
      </c>
    </row>
    <row r="248" spans="1:27">
      <c r="T248" t="s">
        <v>752</v>
      </c>
    </row>
    <row r="249" spans="1:27">
      <c r="P249" s="3">
        <f>-(P243-3000-P241)</f>
        <v>2498.46</v>
      </c>
    </row>
  </sheetData>
  <autoFilter ref="A2:AD239"/>
  <phoneticPr fontId="0" type="noConversion"/>
  <pageMargins left="0.75" right="0.75" top="1" bottom="1" header="0.5" footer="0.5"/>
  <pageSetup paperSize="9" orientation="portrait" horizontalDpi="4294967293" verticalDpi="300" r:id="rId1"/>
  <headerFooter alignWithMargins="0"/>
</worksheet>
</file>

<file path=xl/worksheets/sheet10.xml><?xml version="1.0" encoding="utf-8"?>
<worksheet xmlns="http://schemas.openxmlformats.org/spreadsheetml/2006/main" xmlns:r="http://schemas.openxmlformats.org/officeDocument/2006/relationships">
  <sheetPr enableFormatConditionsCalculation="0">
    <tabColor indexed="10"/>
  </sheetPr>
  <dimension ref="A1"/>
  <sheetViews>
    <sheetView topLeftCell="A82" workbookViewId="0"/>
  </sheetViews>
  <sheetFormatPr defaultRowHeight="12.75"/>
  <sheetData/>
  <phoneticPr fontId="2"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sheetPr enableFormatConditionsCalculation="0">
    <tabColor indexed="10"/>
  </sheetPr>
  <dimension ref="A1"/>
  <sheetViews>
    <sheetView workbookViewId="0">
      <selection activeCell="E36" sqref="E36"/>
    </sheetView>
  </sheetViews>
  <sheetFormatPr defaultRowHeight="12.75"/>
  <sheetData/>
  <phoneticPr fontId="2"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sheetPr enableFormatConditionsCalculation="0">
    <tabColor indexed="53"/>
  </sheetPr>
  <dimension ref="A1:AO79"/>
  <sheetViews>
    <sheetView workbookViewId="0">
      <selection activeCell="A16" sqref="A16"/>
    </sheetView>
  </sheetViews>
  <sheetFormatPr defaultRowHeight="12.75"/>
  <cols>
    <col min="1" max="1" width="18.5703125" bestFit="1" customWidth="1"/>
    <col min="2" max="2" width="11.140625" customWidth="1"/>
    <col min="3" max="3" width="9.7109375" customWidth="1"/>
    <col min="4" max="4" width="10" customWidth="1"/>
    <col min="5" max="5" width="16.28515625" bestFit="1" customWidth="1"/>
    <col min="6" max="6" width="16.28515625" customWidth="1"/>
    <col min="7" max="7" width="19.7109375" bestFit="1" customWidth="1"/>
    <col min="8" max="8" width="10.28515625" bestFit="1" customWidth="1"/>
    <col min="9" max="9" width="16.28515625" bestFit="1" customWidth="1"/>
  </cols>
  <sheetData>
    <row r="1" spans="1:15">
      <c r="B1" s="32" t="s">
        <v>107</v>
      </c>
      <c r="C1" s="32" t="s">
        <v>108</v>
      </c>
      <c r="D1" s="32" t="s">
        <v>109</v>
      </c>
      <c r="E1" s="32" t="s">
        <v>13</v>
      </c>
      <c r="F1" s="32" t="s">
        <v>153</v>
      </c>
      <c r="G1" s="32" t="s">
        <v>158</v>
      </c>
    </row>
    <row r="2" spans="1:15">
      <c r="A2" s="32" t="s">
        <v>136</v>
      </c>
      <c r="B2" s="3"/>
      <c r="C2" s="3"/>
      <c r="D2" s="3"/>
      <c r="E2" s="3"/>
      <c r="F2" s="3"/>
      <c r="N2" s="32" t="s">
        <v>257</v>
      </c>
    </row>
    <row r="3" spans="1:15">
      <c r="A3" t="s">
        <v>86</v>
      </c>
      <c r="B3" s="3">
        <f>E3</f>
        <v>6650</v>
      </c>
      <c r="C3" s="3">
        <v>0</v>
      </c>
      <c r="D3" s="3">
        <v>0</v>
      </c>
      <c r="E3" s="3">
        <f>'Subs + JCR Contribution'!H2</f>
        <v>6650</v>
      </c>
      <c r="F3" s="3" t="s">
        <v>152</v>
      </c>
      <c r="N3" s="56" t="s">
        <v>263</v>
      </c>
      <c r="O3">
        <v>750</v>
      </c>
    </row>
    <row r="4" spans="1:15">
      <c r="A4" t="s">
        <v>85</v>
      </c>
      <c r="B4" s="3">
        <f>'Subs + JCR Contribution'!B3</f>
        <v>900</v>
      </c>
      <c r="C4" s="3">
        <f>(SUM(J47:J49)*H4)+(SUM(J52:J54)*(H4/2))+(SUM(U47:U48)*H4)+(SUM(U49:U51)*(H4/2))</f>
        <v>1120</v>
      </c>
      <c r="D4" s="3">
        <f>(J64+U64)*H4</f>
        <v>1080</v>
      </c>
      <c r="E4" s="3">
        <f>SUM(B4:D4)</f>
        <v>3100</v>
      </c>
      <c r="F4" s="3">
        <f>(U76+J76)*H4</f>
        <v>1080</v>
      </c>
      <c r="G4" t="s">
        <v>159</v>
      </c>
      <c r="H4" s="51">
        <v>20</v>
      </c>
      <c r="N4" t="s">
        <v>258</v>
      </c>
      <c r="O4">
        <v>5</v>
      </c>
    </row>
    <row r="5" spans="1:15">
      <c r="A5" t="s">
        <v>138</v>
      </c>
      <c r="B5" s="3">
        <v>400</v>
      </c>
      <c r="C5" s="3">
        <v>600</v>
      </c>
      <c r="D5" s="3">
        <v>400</v>
      </c>
      <c r="E5" s="3">
        <f>SUM(B5:D5)</f>
        <v>1400</v>
      </c>
      <c r="F5" s="3"/>
      <c r="N5" t="s">
        <v>259</v>
      </c>
      <c r="O5">
        <v>50</v>
      </c>
    </row>
    <row r="6" spans="1:15">
      <c r="A6" t="s">
        <v>149</v>
      </c>
      <c r="B6" s="3" t="s">
        <v>152</v>
      </c>
      <c r="C6" s="3" t="s">
        <v>152</v>
      </c>
      <c r="D6" s="3" t="s">
        <v>152</v>
      </c>
      <c r="E6" s="3">
        <f>SUM(B6:D6)</f>
        <v>0</v>
      </c>
      <c r="F6" s="3" t="s">
        <v>152</v>
      </c>
      <c r="N6" t="s">
        <v>260</v>
      </c>
      <c r="O6">
        <f>(O5*O4*2)+O3</f>
        <v>1250</v>
      </c>
    </row>
    <row r="7" spans="1:15">
      <c r="A7" t="s">
        <v>164</v>
      </c>
      <c r="B7" s="3"/>
      <c r="C7" s="3" t="s">
        <v>152</v>
      </c>
      <c r="D7" s="3" t="s">
        <v>152</v>
      </c>
      <c r="E7" s="3">
        <f>SUM(B7:D7)</f>
        <v>0</v>
      </c>
      <c r="F7" s="3" t="s">
        <v>152</v>
      </c>
      <c r="G7" t="s">
        <v>165</v>
      </c>
      <c r="N7" t="s">
        <v>261</v>
      </c>
      <c r="O7">
        <v>10</v>
      </c>
    </row>
    <row r="8" spans="1:15">
      <c r="A8" s="48" t="s">
        <v>13</v>
      </c>
      <c r="B8" s="90">
        <f>SUM(B3:B7)</f>
        <v>7950</v>
      </c>
      <c r="C8" s="90">
        <f>SUM(C3:C7)</f>
        <v>1720</v>
      </c>
      <c r="D8" s="90">
        <f>SUM(D3:D7)</f>
        <v>1480</v>
      </c>
      <c r="E8" s="90">
        <f>SUM(E3:E7)</f>
        <v>11150</v>
      </c>
      <c r="F8" s="90">
        <f>SUM(F3:F7)</f>
        <v>1080</v>
      </c>
      <c r="N8" t="s">
        <v>262</v>
      </c>
      <c r="O8">
        <f>O6-(O7*O5)</f>
        <v>750</v>
      </c>
    </row>
    <row r="9" spans="1:15">
      <c r="B9" s="3"/>
      <c r="C9" s="3"/>
      <c r="D9" s="3"/>
      <c r="E9" s="3"/>
      <c r="F9" s="3"/>
    </row>
    <row r="10" spans="1:15">
      <c r="A10" s="32" t="s">
        <v>139</v>
      </c>
      <c r="B10" s="3"/>
      <c r="C10" s="3"/>
      <c r="D10" s="3"/>
      <c r="E10" s="3"/>
      <c r="F10" s="3"/>
    </row>
    <row r="11" spans="1:15">
      <c r="A11" t="s">
        <v>137</v>
      </c>
      <c r="B11" s="3" t="s">
        <v>152</v>
      </c>
      <c r="C11" s="3">
        <f>H11+J11</f>
        <v>937.19</v>
      </c>
      <c r="D11" s="3" t="s">
        <v>152</v>
      </c>
      <c r="E11" s="3">
        <f t="shared" ref="E11:E24" si="0">SUM(B11:D11)</f>
        <v>937.19</v>
      </c>
      <c r="F11" s="3" t="s">
        <v>152</v>
      </c>
      <c r="G11" t="s">
        <v>160</v>
      </c>
      <c r="H11" s="22">
        <v>155</v>
      </c>
      <c r="I11" t="s">
        <v>161</v>
      </c>
      <c r="J11" s="22">
        <v>782.19</v>
      </c>
    </row>
    <row r="12" spans="1:15">
      <c r="A12" t="s">
        <v>140</v>
      </c>
      <c r="B12" s="3" t="s">
        <v>152</v>
      </c>
      <c r="C12" s="3">
        <f>H12</f>
        <v>3000</v>
      </c>
      <c r="D12" s="3" t="s">
        <v>152</v>
      </c>
      <c r="E12" s="3">
        <f t="shared" si="0"/>
        <v>3000</v>
      </c>
      <c r="F12" s="3" t="s">
        <v>152</v>
      </c>
      <c r="G12" t="s">
        <v>162</v>
      </c>
      <c r="H12" s="22">
        <v>3000</v>
      </c>
      <c r="J12" s="22"/>
    </row>
    <row r="13" spans="1:15">
      <c r="A13" t="s">
        <v>141</v>
      </c>
      <c r="B13" s="3">
        <v>150</v>
      </c>
      <c r="C13" s="3">
        <v>50</v>
      </c>
      <c r="D13" s="3">
        <v>100</v>
      </c>
      <c r="E13" s="3">
        <f t="shared" si="0"/>
        <v>300</v>
      </c>
      <c r="F13" s="3" t="s">
        <v>152</v>
      </c>
      <c r="G13" t="s">
        <v>166</v>
      </c>
    </row>
    <row r="14" spans="1:15">
      <c r="A14" t="s">
        <v>142</v>
      </c>
      <c r="B14" s="3">
        <f>AE55</f>
        <v>1332.6</v>
      </c>
      <c r="C14" s="3">
        <f>AE64</f>
        <v>1300</v>
      </c>
      <c r="D14" s="3">
        <f>AE76</f>
        <v>1130</v>
      </c>
      <c r="E14" s="3">
        <f t="shared" si="0"/>
        <v>3762.6</v>
      </c>
      <c r="F14" s="3" t="s">
        <v>152</v>
      </c>
      <c r="G14" t="s">
        <v>167</v>
      </c>
    </row>
    <row r="15" spans="1:15">
      <c r="A15" t="s">
        <v>143</v>
      </c>
      <c r="B15" s="3">
        <f>X55-X49-X50</f>
        <v>1700</v>
      </c>
      <c r="C15" s="3">
        <f>X64-X63-X62</f>
        <v>700</v>
      </c>
      <c r="D15" s="3">
        <f>X76-X73-X74</f>
        <v>700</v>
      </c>
      <c r="E15" s="3">
        <f t="shared" si="0"/>
        <v>3100</v>
      </c>
      <c r="F15" s="3" t="s">
        <v>152</v>
      </c>
      <c r="G15" t="s">
        <v>163</v>
      </c>
      <c r="H15">
        <f>X78</f>
        <v>3850</v>
      </c>
      <c r="I15" t="s">
        <v>173</v>
      </c>
    </row>
    <row r="16" spans="1:15">
      <c r="A16" t="s">
        <v>144</v>
      </c>
      <c r="B16" s="3">
        <f>X49+X50</f>
        <v>350</v>
      </c>
      <c r="C16" s="3">
        <f>X63+X62</f>
        <v>400</v>
      </c>
      <c r="D16" s="3">
        <f>X73+X74</f>
        <v>0</v>
      </c>
      <c r="E16" s="3">
        <f t="shared" si="0"/>
        <v>750</v>
      </c>
      <c r="F16" s="3" t="s">
        <v>152</v>
      </c>
    </row>
    <row r="17" spans="1:8">
      <c r="A17" t="s">
        <v>145</v>
      </c>
      <c r="B17" s="3">
        <v>0</v>
      </c>
      <c r="C17" s="3">
        <v>0</v>
      </c>
      <c r="D17" s="3">
        <v>0</v>
      </c>
      <c r="E17" s="3">
        <f t="shared" si="0"/>
        <v>0</v>
      </c>
      <c r="F17" s="3" t="s">
        <v>152</v>
      </c>
      <c r="G17" t="s">
        <v>174</v>
      </c>
    </row>
    <row r="18" spans="1:8">
      <c r="A18" t="s">
        <v>138</v>
      </c>
      <c r="B18" s="3">
        <v>0</v>
      </c>
      <c r="C18" s="3">
        <v>0</v>
      </c>
      <c r="D18" s="3">
        <v>0</v>
      </c>
      <c r="E18" s="3">
        <f t="shared" si="0"/>
        <v>0</v>
      </c>
      <c r="F18" s="3" t="s">
        <v>152</v>
      </c>
      <c r="G18" t="s">
        <v>229</v>
      </c>
    </row>
    <row r="19" spans="1:8">
      <c r="A19" t="s">
        <v>146</v>
      </c>
      <c r="B19" s="3">
        <f>I55+T55</f>
        <v>1710</v>
      </c>
      <c r="C19" s="3">
        <f>I64+T64</f>
        <v>2060</v>
      </c>
      <c r="D19" s="3">
        <f>I76+T76</f>
        <v>2640</v>
      </c>
      <c r="E19" s="3">
        <f t="shared" si="0"/>
        <v>6410</v>
      </c>
      <c r="F19" s="3" t="s">
        <v>152</v>
      </c>
      <c r="G19" t="s">
        <v>163</v>
      </c>
      <c r="H19" s="22">
        <f>I78+T78</f>
        <v>6410</v>
      </c>
    </row>
    <row r="20" spans="1:8">
      <c r="A20" t="s">
        <v>147</v>
      </c>
      <c r="B20" s="3">
        <v>250</v>
      </c>
      <c r="C20" s="3">
        <v>100</v>
      </c>
      <c r="D20" s="3">
        <v>0</v>
      </c>
      <c r="E20" s="3">
        <f t="shared" si="0"/>
        <v>350</v>
      </c>
      <c r="F20" s="3" t="s">
        <v>152</v>
      </c>
      <c r="G20" t="s">
        <v>230</v>
      </c>
    </row>
    <row r="21" spans="1:8">
      <c r="A21" t="s">
        <v>148</v>
      </c>
      <c r="B21" s="3">
        <v>50</v>
      </c>
      <c r="C21" s="3">
        <v>25</v>
      </c>
      <c r="D21" s="3">
        <v>25</v>
      </c>
      <c r="E21" s="3">
        <f t="shared" si="0"/>
        <v>100</v>
      </c>
      <c r="F21" s="3" t="s">
        <v>152</v>
      </c>
    </row>
    <row r="22" spans="1:8">
      <c r="A22" t="s">
        <v>149</v>
      </c>
      <c r="B22" s="3" t="s">
        <v>152</v>
      </c>
      <c r="C22" s="3" t="s">
        <v>152</v>
      </c>
      <c r="D22" s="3" t="s">
        <v>152</v>
      </c>
      <c r="E22" s="3">
        <f t="shared" si="0"/>
        <v>0</v>
      </c>
      <c r="F22" s="3" t="s">
        <v>152</v>
      </c>
    </row>
    <row r="23" spans="1:8">
      <c r="A23" t="s">
        <v>150</v>
      </c>
      <c r="B23" s="3" t="s">
        <v>152</v>
      </c>
      <c r="C23" s="3" t="s">
        <v>152</v>
      </c>
      <c r="D23" s="3" t="s">
        <v>152</v>
      </c>
      <c r="E23" s="3">
        <f t="shared" si="0"/>
        <v>0</v>
      </c>
      <c r="F23" s="3" t="s">
        <v>152</v>
      </c>
      <c r="G23" s="3" t="s">
        <v>231</v>
      </c>
    </row>
    <row r="24" spans="1:8">
      <c r="A24" t="s">
        <v>171</v>
      </c>
      <c r="B24" s="3">
        <f>AK65</f>
        <v>570</v>
      </c>
      <c r="C24" s="3" t="s">
        <v>152</v>
      </c>
      <c r="D24" s="3" t="s">
        <v>152</v>
      </c>
      <c r="E24" s="3">
        <f t="shared" si="0"/>
        <v>570</v>
      </c>
      <c r="F24" s="3"/>
      <c r="G24" t="s">
        <v>167</v>
      </c>
    </row>
    <row r="25" spans="1:8">
      <c r="A25" s="48" t="s">
        <v>13</v>
      </c>
      <c r="B25" s="90">
        <f>SUM(B11:B24)</f>
        <v>6112.6</v>
      </c>
      <c r="C25" s="90">
        <f>SUM(C11:C24)</f>
        <v>8572.19</v>
      </c>
      <c r="D25" s="90">
        <f>SUM(D11:D24)</f>
        <v>4595</v>
      </c>
      <c r="E25" s="90">
        <f>SUM(E11:E24)</f>
        <v>19279.79</v>
      </c>
      <c r="F25" s="90">
        <f>SUM(F11:F23)</f>
        <v>0</v>
      </c>
    </row>
    <row r="26" spans="1:8" ht="13.5" thickBot="1">
      <c r="B26" s="3"/>
      <c r="C26" s="3"/>
      <c r="D26" s="3"/>
      <c r="E26" s="3"/>
      <c r="F26" s="3"/>
    </row>
    <row r="27" spans="1:8" ht="14.25" thickTop="1" thickBot="1">
      <c r="A27" s="49" t="s">
        <v>13</v>
      </c>
      <c r="B27" s="91">
        <f>-B25+B8</f>
        <v>1837.3999999999996</v>
      </c>
      <c r="C27" s="91">
        <f>-C25+C8</f>
        <v>-6852.1900000000005</v>
      </c>
      <c r="D27" s="91">
        <f>-D25+D8</f>
        <v>-3115</v>
      </c>
      <c r="E27" s="91">
        <f>-E25+E8</f>
        <v>-8129.7900000000009</v>
      </c>
      <c r="F27" s="91">
        <f>-F25+F8+E27</f>
        <v>-7049.7900000000009</v>
      </c>
    </row>
    <row r="28" spans="1:8" ht="13.5" thickTop="1"/>
    <row r="29" spans="1:8">
      <c r="A29" t="s">
        <v>244</v>
      </c>
      <c r="B29">
        <f>I55</f>
        <v>990</v>
      </c>
      <c r="C29">
        <f>I64</f>
        <v>1030</v>
      </c>
      <c r="D29">
        <f>I76</f>
        <v>1440</v>
      </c>
      <c r="E29">
        <f>SUM(B29:D29)</f>
        <v>3460</v>
      </c>
    </row>
    <row r="30" spans="1:8">
      <c r="A30" t="s">
        <v>245</v>
      </c>
      <c r="B30" s="93">
        <f>AG55</f>
        <v>695.0515151515151</v>
      </c>
      <c r="C30" s="93">
        <f>AG64</f>
        <v>698.92857142857144</v>
      </c>
      <c r="D30" s="93">
        <f>AG76</f>
        <v>704</v>
      </c>
      <c r="E30" s="94">
        <f>SUM(B30:D30)</f>
        <v>2097.9800865800867</v>
      </c>
    </row>
    <row r="31" spans="1:8">
      <c r="A31" t="s">
        <v>246</v>
      </c>
      <c r="B31" s="93">
        <f>B30+B29</f>
        <v>1685.0515151515151</v>
      </c>
      <c r="C31" s="93">
        <f>C30+C29</f>
        <v>1728.9285714285716</v>
      </c>
      <c r="D31" s="93">
        <f>D30+D29</f>
        <v>2144</v>
      </c>
      <c r="E31" s="94">
        <f>SUM(B31:D31)</f>
        <v>5557.9800865800862</v>
      </c>
    </row>
    <row r="33" spans="1:41">
      <c r="A33" t="s">
        <v>247</v>
      </c>
      <c r="B33">
        <f>T55</f>
        <v>720</v>
      </c>
      <c r="C33">
        <f>T64</f>
        <v>1030</v>
      </c>
      <c r="D33">
        <f>T76</f>
        <v>1200</v>
      </c>
      <c r="E33">
        <f>SUM(B33:D33)</f>
        <v>2950</v>
      </c>
    </row>
    <row r="34" spans="1:41">
      <c r="A34" t="s">
        <v>248</v>
      </c>
      <c r="B34" s="93">
        <f>AH55</f>
        <v>637.5484848484848</v>
      </c>
      <c r="C34" s="93">
        <f>AH64</f>
        <v>601.07142857142856</v>
      </c>
      <c r="D34" s="93">
        <f>AH76</f>
        <v>376</v>
      </c>
      <c r="E34" s="94">
        <f>SUM(B34:D34)</f>
        <v>1614.6199134199132</v>
      </c>
    </row>
    <row r="35" spans="1:41">
      <c r="A35" t="s">
        <v>249</v>
      </c>
      <c r="B35" s="93">
        <f>B34+B33</f>
        <v>1357.5484848484848</v>
      </c>
      <c r="C35" s="93">
        <f>C34+C33</f>
        <v>1631.0714285714284</v>
      </c>
      <c r="D35" s="93">
        <f>D34+D33</f>
        <v>1576</v>
      </c>
      <c r="E35" s="94">
        <f>SUM(B35:D35)</f>
        <v>4564.6199134199132</v>
      </c>
    </row>
    <row r="37" spans="1:41">
      <c r="A37" t="s">
        <v>250</v>
      </c>
      <c r="B37" s="3">
        <f>B19-B33-B29</f>
        <v>0</v>
      </c>
      <c r="C37" s="93">
        <f>C19-C33-C29</f>
        <v>0</v>
      </c>
      <c r="D37" s="93">
        <f>D19-D33-D29</f>
        <v>0</v>
      </c>
      <c r="E37">
        <f>SUM(B37:D37)</f>
        <v>0</v>
      </c>
    </row>
    <row r="38" spans="1:41">
      <c r="A38" t="s">
        <v>251</v>
      </c>
      <c r="B38" s="93">
        <f>B14-B34-B30</f>
        <v>0</v>
      </c>
      <c r="C38" s="93">
        <f>C14-C34-C30</f>
        <v>0</v>
      </c>
      <c r="D38" s="93">
        <f>D14-D34-D30</f>
        <v>50</v>
      </c>
      <c r="E38">
        <f>SUM(B38:D38)</f>
        <v>50</v>
      </c>
    </row>
    <row r="39" spans="1:41">
      <c r="A39" t="s">
        <v>252</v>
      </c>
      <c r="B39" s="93">
        <f>B38+B37</f>
        <v>0</v>
      </c>
      <c r="C39" s="93">
        <f>C38+C37</f>
        <v>0</v>
      </c>
      <c r="D39" s="93">
        <f>D38+D37</f>
        <v>50</v>
      </c>
      <c r="E39">
        <f>SUM(B39:D39)</f>
        <v>50</v>
      </c>
    </row>
    <row r="43" spans="1:41">
      <c r="A43" s="32" t="s">
        <v>104</v>
      </c>
      <c r="L43" s="32" t="s">
        <v>105</v>
      </c>
      <c r="W43" s="32" t="s">
        <v>106</v>
      </c>
      <c r="Z43" s="32"/>
      <c r="AA43" s="32" t="s">
        <v>142</v>
      </c>
      <c r="AJ43" s="32" t="s">
        <v>175</v>
      </c>
      <c r="AO43" s="32" t="s">
        <v>172</v>
      </c>
    </row>
    <row r="44" spans="1:41">
      <c r="A44" t="s">
        <v>107</v>
      </c>
      <c r="L44" t="s">
        <v>107</v>
      </c>
      <c r="W44" t="s">
        <v>107</v>
      </c>
      <c r="AA44" t="s">
        <v>107</v>
      </c>
    </row>
    <row r="45" spans="1:41">
      <c r="Y45" t="s">
        <v>158</v>
      </c>
      <c r="AG45" t="s">
        <v>242</v>
      </c>
      <c r="AH45" t="s">
        <v>243</v>
      </c>
      <c r="AJ45" t="s">
        <v>176</v>
      </c>
    </row>
    <row r="46" spans="1:41">
      <c r="A46" t="s">
        <v>90</v>
      </c>
      <c r="B46" t="s">
        <v>110</v>
      </c>
      <c r="C46" t="s">
        <v>111</v>
      </c>
      <c r="D46" t="s">
        <v>112</v>
      </c>
      <c r="E46" t="s">
        <v>113</v>
      </c>
      <c r="F46" t="s">
        <v>119</v>
      </c>
      <c r="G46" t="s">
        <v>120</v>
      </c>
      <c r="H46" t="s">
        <v>118</v>
      </c>
      <c r="I46" t="s">
        <v>13</v>
      </c>
      <c r="J46" t="s">
        <v>151</v>
      </c>
      <c r="L46" t="s">
        <v>90</v>
      </c>
      <c r="M46" t="s">
        <v>110</v>
      </c>
      <c r="N46" t="s">
        <v>111</v>
      </c>
      <c r="O46" t="s">
        <v>112</v>
      </c>
      <c r="P46" t="s">
        <v>113</v>
      </c>
      <c r="Q46" t="s">
        <v>119</v>
      </c>
      <c r="R46" t="s">
        <v>120</v>
      </c>
      <c r="S46" t="s">
        <v>118</v>
      </c>
      <c r="T46" t="s">
        <v>13</v>
      </c>
      <c r="U46" t="s">
        <v>151</v>
      </c>
      <c r="W46" t="s">
        <v>154</v>
      </c>
      <c r="X46">
        <v>700</v>
      </c>
      <c r="AA46" t="s">
        <v>168</v>
      </c>
      <c r="AB46" t="s">
        <v>169</v>
      </c>
      <c r="AC46" t="s">
        <v>170</v>
      </c>
      <c r="AD46" t="s">
        <v>214</v>
      </c>
      <c r="AE46" t="s">
        <v>13</v>
      </c>
    </row>
    <row r="47" spans="1:41">
      <c r="A47" t="s">
        <v>114</v>
      </c>
      <c r="B47">
        <v>3</v>
      </c>
      <c r="C47">
        <v>1</v>
      </c>
      <c r="D47">
        <v>3</v>
      </c>
      <c r="E47">
        <v>0</v>
      </c>
      <c r="F47">
        <v>30</v>
      </c>
      <c r="G47">
        <v>25</v>
      </c>
      <c r="H47">
        <v>3</v>
      </c>
      <c r="I47">
        <f>(D47*F47*H47)+(E47*G47*H47)</f>
        <v>270</v>
      </c>
      <c r="J47">
        <v>5</v>
      </c>
      <c r="L47" t="s">
        <v>132</v>
      </c>
      <c r="M47">
        <v>3</v>
      </c>
      <c r="N47">
        <v>1</v>
      </c>
      <c r="O47">
        <v>3</v>
      </c>
      <c r="P47">
        <v>0</v>
      </c>
      <c r="Q47">
        <v>30</v>
      </c>
      <c r="R47">
        <v>25</v>
      </c>
      <c r="S47">
        <v>5</v>
      </c>
      <c r="T47">
        <f>(O47*Q47*S47)+(P47*R47*S47)</f>
        <v>450</v>
      </c>
      <c r="U47">
        <v>9</v>
      </c>
      <c r="W47" t="s">
        <v>155</v>
      </c>
      <c r="X47">
        <v>1000</v>
      </c>
      <c r="AA47" t="s">
        <v>208</v>
      </c>
      <c r="AB47">
        <v>3</v>
      </c>
      <c r="AC47">
        <v>2</v>
      </c>
      <c r="AD47">
        <v>6</v>
      </c>
      <c r="AE47">
        <f>(AD47*AB47*4)+(AD47*AC47*12)</f>
        <v>216</v>
      </c>
      <c r="AG47" s="93">
        <f t="shared" ref="AG47:AG52" si="1">(AE47/($AC47+$AB47))*AB47</f>
        <v>129.60000000000002</v>
      </c>
      <c r="AH47" s="93">
        <f t="shared" ref="AH47:AH52" si="2">(AE47/($AC47+$AB47))*AC47</f>
        <v>86.4</v>
      </c>
      <c r="AJ47" t="s">
        <v>177</v>
      </c>
      <c r="AK47">
        <v>25</v>
      </c>
    </row>
    <row r="48" spans="1:41">
      <c r="A48" t="s">
        <v>115</v>
      </c>
      <c r="B48">
        <v>3</v>
      </c>
      <c r="C48">
        <v>1</v>
      </c>
      <c r="D48">
        <v>3</v>
      </c>
      <c r="E48">
        <v>0</v>
      </c>
      <c r="F48">
        <v>30</v>
      </c>
      <c r="G48">
        <v>25</v>
      </c>
      <c r="H48">
        <v>3</v>
      </c>
      <c r="I48">
        <f t="shared" ref="I48:I54" si="3">(D48*F48*H48)+(E48*G48*H48)</f>
        <v>270</v>
      </c>
      <c r="J48">
        <v>5</v>
      </c>
      <c r="L48" t="s">
        <v>133</v>
      </c>
      <c r="M48">
        <v>3</v>
      </c>
      <c r="N48">
        <v>1</v>
      </c>
      <c r="O48">
        <v>3</v>
      </c>
      <c r="P48">
        <v>0</v>
      </c>
      <c r="Q48">
        <v>30</v>
      </c>
      <c r="R48">
        <v>25</v>
      </c>
      <c r="S48">
        <v>3</v>
      </c>
      <c r="T48">
        <f>(O48*Q48*S48)+(P48*R48*S48)</f>
        <v>270</v>
      </c>
      <c r="U48">
        <v>5</v>
      </c>
      <c r="W48" t="s">
        <v>156</v>
      </c>
      <c r="AA48" t="s">
        <v>209</v>
      </c>
      <c r="AB48">
        <v>2</v>
      </c>
      <c r="AC48">
        <v>4</v>
      </c>
      <c r="AE48">
        <v>160</v>
      </c>
      <c r="AF48" t="s">
        <v>215</v>
      </c>
      <c r="AG48" s="93">
        <f t="shared" si="1"/>
        <v>53.333333333333336</v>
      </c>
      <c r="AH48" s="93">
        <f t="shared" si="2"/>
        <v>106.66666666666667</v>
      </c>
      <c r="AJ48" t="s">
        <v>178</v>
      </c>
      <c r="AK48">
        <v>10</v>
      </c>
    </row>
    <row r="49" spans="1:39">
      <c r="A49" t="s">
        <v>116</v>
      </c>
      <c r="B49">
        <v>3</v>
      </c>
      <c r="C49">
        <v>1</v>
      </c>
      <c r="D49">
        <v>3</v>
      </c>
      <c r="E49">
        <v>0</v>
      </c>
      <c r="F49">
        <v>30</v>
      </c>
      <c r="G49">
        <v>25</v>
      </c>
      <c r="H49">
        <v>3</v>
      </c>
      <c r="I49">
        <f t="shared" si="3"/>
        <v>270</v>
      </c>
      <c r="J49">
        <v>5</v>
      </c>
      <c r="L49" t="s">
        <v>129</v>
      </c>
      <c r="M49">
        <v>3</v>
      </c>
      <c r="N49">
        <v>1</v>
      </c>
      <c r="O49">
        <v>2</v>
      </c>
      <c r="P49">
        <v>0</v>
      </c>
      <c r="Q49">
        <v>30</v>
      </c>
      <c r="R49">
        <v>25</v>
      </c>
      <c r="S49">
        <v>3</v>
      </c>
      <c r="T49">
        <v>0</v>
      </c>
      <c r="U49" s="50">
        <v>9</v>
      </c>
      <c r="W49" t="s">
        <v>144</v>
      </c>
      <c r="X49">
        <v>300</v>
      </c>
      <c r="AA49" t="s">
        <v>212</v>
      </c>
      <c r="AB49">
        <v>3</v>
      </c>
      <c r="AC49">
        <v>2</v>
      </c>
      <c r="AE49">
        <v>200</v>
      </c>
      <c r="AF49" t="s">
        <v>216</v>
      </c>
      <c r="AG49" s="93">
        <f t="shared" si="1"/>
        <v>120</v>
      </c>
      <c r="AH49" s="93">
        <f t="shared" si="2"/>
        <v>80</v>
      </c>
      <c r="AJ49" t="s">
        <v>179</v>
      </c>
      <c r="AK49" t="s">
        <v>152</v>
      </c>
    </row>
    <row r="50" spans="1:39">
      <c r="A50" t="s">
        <v>117</v>
      </c>
      <c r="B50">
        <v>3</v>
      </c>
      <c r="C50">
        <v>1</v>
      </c>
      <c r="D50">
        <v>2</v>
      </c>
      <c r="E50">
        <v>0</v>
      </c>
      <c r="F50">
        <v>30</v>
      </c>
      <c r="G50">
        <v>25</v>
      </c>
      <c r="H50">
        <v>3</v>
      </c>
      <c r="I50">
        <f t="shared" si="3"/>
        <v>180</v>
      </c>
      <c r="J50" t="s">
        <v>152</v>
      </c>
      <c r="L50" t="s">
        <v>130</v>
      </c>
      <c r="M50">
        <v>3</v>
      </c>
      <c r="N50">
        <v>1</v>
      </c>
      <c r="O50">
        <v>0</v>
      </c>
      <c r="P50">
        <v>0</v>
      </c>
      <c r="Q50">
        <v>30</v>
      </c>
      <c r="R50">
        <v>25</v>
      </c>
      <c r="S50">
        <v>7</v>
      </c>
      <c r="T50">
        <f>(O50*Q50*S50)+(P50*R50*S50)</f>
        <v>0</v>
      </c>
      <c r="U50" s="50">
        <v>9</v>
      </c>
      <c r="W50" t="s">
        <v>157</v>
      </c>
      <c r="X50">
        <v>50</v>
      </c>
      <c r="AA50" t="s">
        <v>210</v>
      </c>
      <c r="AB50">
        <v>6</v>
      </c>
      <c r="AC50">
        <v>5</v>
      </c>
      <c r="AE50">
        <f>272+32</f>
        <v>304</v>
      </c>
      <c r="AF50" t="s">
        <v>215</v>
      </c>
      <c r="AG50" s="93">
        <f t="shared" si="1"/>
        <v>165.81818181818181</v>
      </c>
      <c r="AH50" s="93">
        <f t="shared" si="2"/>
        <v>138.18181818181819</v>
      </c>
      <c r="AJ50" s="48" t="s">
        <v>13</v>
      </c>
      <c r="AK50" s="48">
        <f>SUM(AK47:AK49)</f>
        <v>35</v>
      </c>
    </row>
    <row r="51" spans="1:39">
      <c r="A51" t="s">
        <v>124</v>
      </c>
      <c r="B51">
        <v>3</v>
      </c>
      <c r="C51">
        <v>0</v>
      </c>
      <c r="D51">
        <v>0</v>
      </c>
      <c r="E51">
        <v>0</v>
      </c>
      <c r="F51">
        <v>30</v>
      </c>
      <c r="G51">
        <v>25</v>
      </c>
      <c r="H51">
        <v>7</v>
      </c>
      <c r="I51">
        <f t="shared" si="3"/>
        <v>0</v>
      </c>
      <c r="J51" t="s">
        <v>152</v>
      </c>
      <c r="L51" t="s">
        <v>131</v>
      </c>
      <c r="M51">
        <v>3</v>
      </c>
      <c r="N51">
        <v>1</v>
      </c>
      <c r="O51">
        <v>0</v>
      </c>
      <c r="P51">
        <v>0</v>
      </c>
      <c r="Q51">
        <v>30</v>
      </c>
      <c r="R51">
        <v>25</v>
      </c>
      <c r="S51">
        <v>7</v>
      </c>
      <c r="T51">
        <f>(O51*Q51*S51)+(P51*R51*S51)</f>
        <v>0</v>
      </c>
      <c r="U51" s="50">
        <v>9</v>
      </c>
      <c r="AA51" t="s">
        <v>211</v>
      </c>
      <c r="AB51">
        <v>3</v>
      </c>
      <c r="AC51">
        <v>3</v>
      </c>
      <c r="AE51">
        <v>215</v>
      </c>
      <c r="AF51" t="s">
        <v>215</v>
      </c>
      <c r="AG51" s="93">
        <f t="shared" si="1"/>
        <v>107.5</v>
      </c>
      <c r="AH51" s="93">
        <f t="shared" si="2"/>
        <v>107.5</v>
      </c>
    </row>
    <row r="52" spans="1:39">
      <c r="A52" t="s">
        <v>126</v>
      </c>
      <c r="B52">
        <v>3</v>
      </c>
      <c r="C52">
        <v>1</v>
      </c>
      <c r="D52">
        <v>0</v>
      </c>
      <c r="E52">
        <v>0</v>
      </c>
      <c r="F52">
        <v>30</v>
      </c>
      <c r="G52">
        <v>25</v>
      </c>
      <c r="H52">
        <v>7</v>
      </c>
      <c r="I52">
        <f t="shared" si="3"/>
        <v>0</v>
      </c>
      <c r="J52" s="50">
        <v>9</v>
      </c>
      <c r="AA52" t="s">
        <v>213</v>
      </c>
      <c r="AB52">
        <v>3</v>
      </c>
      <c r="AC52">
        <v>3</v>
      </c>
      <c r="AD52">
        <v>39.6</v>
      </c>
      <c r="AE52">
        <f>AD52*(AC52+AB52)</f>
        <v>237.60000000000002</v>
      </c>
      <c r="AG52" s="93">
        <f t="shared" si="1"/>
        <v>118.80000000000001</v>
      </c>
      <c r="AH52" s="93">
        <f t="shared" si="2"/>
        <v>118.80000000000001</v>
      </c>
      <c r="AJ52" t="s">
        <v>180</v>
      </c>
    </row>
    <row r="53" spans="1:39">
      <c r="A53" t="s">
        <v>127</v>
      </c>
      <c r="B53">
        <v>3</v>
      </c>
      <c r="C53">
        <v>1</v>
      </c>
      <c r="D53">
        <v>0</v>
      </c>
      <c r="E53">
        <v>0</v>
      </c>
      <c r="F53">
        <v>30</v>
      </c>
      <c r="G53">
        <v>25</v>
      </c>
      <c r="H53">
        <v>7</v>
      </c>
      <c r="I53">
        <f t="shared" si="3"/>
        <v>0</v>
      </c>
      <c r="J53" s="50">
        <v>9</v>
      </c>
      <c r="AG53" s="93"/>
      <c r="AH53" s="93"/>
    </row>
    <row r="54" spans="1:39">
      <c r="A54" t="s">
        <v>128</v>
      </c>
      <c r="B54">
        <v>3</v>
      </c>
      <c r="C54">
        <v>1</v>
      </c>
      <c r="D54">
        <v>0</v>
      </c>
      <c r="E54">
        <v>0</v>
      </c>
      <c r="F54">
        <v>30</v>
      </c>
      <c r="G54">
        <v>25</v>
      </c>
      <c r="H54">
        <v>7</v>
      </c>
      <c r="I54">
        <f t="shared" si="3"/>
        <v>0</v>
      </c>
      <c r="J54" s="50">
        <v>9</v>
      </c>
      <c r="AG54" s="93"/>
      <c r="AH54" s="93"/>
      <c r="AJ54" t="s">
        <v>177</v>
      </c>
      <c r="AK54">
        <v>15</v>
      </c>
    </row>
    <row r="55" spans="1:39">
      <c r="A55" s="48"/>
      <c r="B55" s="48">
        <f t="shared" ref="B55:H55" si="4">SUM(B47:B54)</f>
        <v>24</v>
      </c>
      <c r="C55" s="48">
        <f t="shared" si="4"/>
        <v>7</v>
      </c>
      <c r="D55" s="48">
        <f t="shared" si="4"/>
        <v>11</v>
      </c>
      <c r="E55" s="48">
        <f t="shared" si="4"/>
        <v>0</v>
      </c>
      <c r="F55" s="48">
        <f t="shared" si="4"/>
        <v>240</v>
      </c>
      <c r="G55" s="48">
        <f t="shared" si="4"/>
        <v>200</v>
      </c>
      <c r="H55" s="48">
        <f t="shared" si="4"/>
        <v>40</v>
      </c>
      <c r="I55" s="48">
        <f>SUM(I47:I54)</f>
        <v>990</v>
      </c>
      <c r="J55" s="48">
        <f>SUM(J47:J54)</f>
        <v>42</v>
      </c>
      <c r="L55" s="48"/>
      <c r="M55" s="48">
        <f t="shared" ref="M55:U55" si="5">SUM(M47:M54)</f>
        <v>15</v>
      </c>
      <c r="N55" s="48">
        <f t="shared" si="5"/>
        <v>5</v>
      </c>
      <c r="O55" s="48">
        <f t="shared" si="5"/>
        <v>8</v>
      </c>
      <c r="P55" s="48">
        <f t="shared" si="5"/>
        <v>0</v>
      </c>
      <c r="Q55" s="48">
        <f t="shared" si="5"/>
        <v>150</v>
      </c>
      <c r="R55" s="48">
        <f t="shared" si="5"/>
        <v>125</v>
      </c>
      <c r="S55" s="48">
        <f t="shared" si="5"/>
        <v>25</v>
      </c>
      <c r="T55" s="48">
        <f t="shared" si="5"/>
        <v>720</v>
      </c>
      <c r="U55" s="48">
        <f t="shared" si="5"/>
        <v>41</v>
      </c>
      <c r="W55" s="48" t="s">
        <v>13</v>
      </c>
      <c r="X55" s="48">
        <f>SUM(X46:X50)</f>
        <v>2050</v>
      </c>
      <c r="Y55" s="48"/>
      <c r="AA55" s="48" t="s">
        <v>13</v>
      </c>
      <c r="AB55" s="48"/>
      <c r="AC55" s="48"/>
      <c r="AD55" s="48"/>
      <c r="AE55" s="48">
        <f>SUM(AE47:AE53)</f>
        <v>1332.6</v>
      </c>
      <c r="AG55" s="93">
        <f>SUM(AG47:AG52)</f>
        <v>695.0515151515151</v>
      </c>
      <c r="AH55" s="93">
        <f>SUM(AH47:AH52)</f>
        <v>637.5484848484848</v>
      </c>
      <c r="AJ55" t="s">
        <v>181</v>
      </c>
      <c r="AK55">
        <v>100</v>
      </c>
      <c r="AL55" t="s">
        <v>189</v>
      </c>
      <c r="AM55">
        <v>20</v>
      </c>
    </row>
    <row r="56" spans="1:39">
      <c r="A56" s="7"/>
      <c r="B56" s="7"/>
      <c r="C56" s="7"/>
      <c r="D56" s="7"/>
      <c r="E56" s="7"/>
      <c r="F56" s="7"/>
      <c r="G56" s="7"/>
      <c r="H56" s="7"/>
      <c r="I56" s="7"/>
      <c r="J56" s="7"/>
      <c r="L56" s="7"/>
      <c r="M56" s="7"/>
      <c r="N56" s="7"/>
      <c r="O56" s="7"/>
      <c r="P56" s="7"/>
      <c r="Q56" s="7"/>
      <c r="R56" s="7"/>
      <c r="S56" s="7"/>
      <c r="T56" s="7"/>
      <c r="U56" s="7"/>
      <c r="W56" s="7"/>
      <c r="X56" s="7"/>
      <c r="Y56" s="7"/>
      <c r="AG56" s="93"/>
      <c r="AH56" s="93"/>
      <c r="AJ56" t="s">
        <v>182</v>
      </c>
      <c r="AK56">
        <v>2</v>
      </c>
    </row>
    <row r="57" spans="1:39">
      <c r="A57" t="s">
        <v>108</v>
      </c>
      <c r="L57" t="s">
        <v>108</v>
      </c>
      <c r="W57" t="s">
        <v>108</v>
      </c>
      <c r="AA57" t="s">
        <v>217</v>
      </c>
      <c r="AB57">
        <v>3</v>
      </c>
      <c r="AC57">
        <v>3</v>
      </c>
      <c r="AD57">
        <v>6</v>
      </c>
      <c r="AE57">
        <f>AD57*8*(AC57+AB57)</f>
        <v>288</v>
      </c>
      <c r="AG57" s="93">
        <f t="shared" ref="AG57:AG62" si="6">(AE57/($AC57+$AB57))*AB57</f>
        <v>144</v>
      </c>
      <c r="AH57" s="93">
        <f t="shared" ref="AH57:AH62" si="7">(AE57/($AC57+$AB57))*AC57</f>
        <v>144</v>
      </c>
      <c r="AJ57" s="54" t="s">
        <v>184</v>
      </c>
      <c r="AK57" s="54">
        <f>AK56*AK55</f>
        <v>200</v>
      </c>
    </row>
    <row r="58" spans="1:39">
      <c r="Y58" t="s">
        <v>158</v>
      </c>
      <c r="AA58" t="s">
        <v>218</v>
      </c>
      <c r="AB58">
        <v>2</v>
      </c>
      <c r="AC58">
        <v>2</v>
      </c>
      <c r="AE58">
        <f>144*(4/3)</f>
        <v>192</v>
      </c>
      <c r="AF58" t="s">
        <v>223</v>
      </c>
      <c r="AG58" s="93">
        <f t="shared" si="6"/>
        <v>96</v>
      </c>
      <c r="AH58" s="93">
        <f t="shared" si="7"/>
        <v>96</v>
      </c>
      <c r="AJ58" t="s">
        <v>183</v>
      </c>
      <c r="AK58" s="55">
        <v>2</v>
      </c>
    </row>
    <row r="59" spans="1:39">
      <c r="A59" t="s">
        <v>90</v>
      </c>
      <c r="B59" t="s">
        <v>110</v>
      </c>
      <c r="C59" t="s">
        <v>111</v>
      </c>
      <c r="D59" t="s">
        <v>112</v>
      </c>
      <c r="E59" t="s">
        <v>113</v>
      </c>
      <c r="F59" t="s">
        <v>119</v>
      </c>
      <c r="G59" t="s">
        <v>120</v>
      </c>
      <c r="H59" t="s">
        <v>118</v>
      </c>
      <c r="I59" t="s">
        <v>13</v>
      </c>
      <c r="L59" t="s">
        <v>90</v>
      </c>
      <c r="M59" t="s">
        <v>110</v>
      </c>
      <c r="N59" t="s">
        <v>111</v>
      </c>
      <c r="O59" t="s">
        <v>112</v>
      </c>
      <c r="P59" t="s">
        <v>113</v>
      </c>
      <c r="Q59" t="s">
        <v>119</v>
      </c>
      <c r="R59" t="s">
        <v>120</v>
      </c>
      <c r="S59" t="s">
        <v>118</v>
      </c>
      <c r="T59" t="s">
        <v>13</v>
      </c>
      <c r="W59" t="s">
        <v>154</v>
      </c>
      <c r="X59">
        <v>700</v>
      </c>
      <c r="AA59" t="s">
        <v>222</v>
      </c>
      <c r="AB59">
        <v>2</v>
      </c>
      <c r="AC59">
        <v>1</v>
      </c>
      <c r="AE59">
        <f>150*(3/2)</f>
        <v>225</v>
      </c>
      <c r="AF59" t="s">
        <v>223</v>
      </c>
      <c r="AG59" s="93">
        <f t="shared" si="6"/>
        <v>150</v>
      </c>
      <c r="AH59" s="93">
        <f t="shared" si="7"/>
        <v>75</v>
      </c>
      <c r="AJ59" s="53" t="s">
        <v>185</v>
      </c>
      <c r="AK59" s="53">
        <f>AK55*AK58</f>
        <v>200</v>
      </c>
    </row>
    <row r="60" spans="1:39">
      <c r="A60" t="s">
        <v>121</v>
      </c>
      <c r="B60">
        <v>4</v>
      </c>
      <c r="C60">
        <v>1</v>
      </c>
      <c r="D60">
        <v>4</v>
      </c>
      <c r="E60">
        <v>1</v>
      </c>
      <c r="F60">
        <v>30</v>
      </c>
      <c r="G60">
        <v>25</v>
      </c>
      <c r="H60">
        <v>4</v>
      </c>
      <c r="I60">
        <f>(D60*F60*H60)+(E60*G60*H60)</f>
        <v>580</v>
      </c>
      <c r="J60">
        <v>9</v>
      </c>
      <c r="L60" t="s">
        <v>132</v>
      </c>
      <c r="M60">
        <v>4</v>
      </c>
      <c r="N60">
        <v>1</v>
      </c>
      <c r="O60">
        <v>4</v>
      </c>
      <c r="P60">
        <v>1</v>
      </c>
      <c r="Q60">
        <v>30</v>
      </c>
      <c r="R60">
        <v>25</v>
      </c>
      <c r="S60">
        <v>4</v>
      </c>
      <c r="T60">
        <f>(O60*Q60*S60)+(P60*R60*S60)</f>
        <v>580</v>
      </c>
      <c r="U60">
        <v>9</v>
      </c>
      <c r="W60" t="s">
        <v>155</v>
      </c>
      <c r="AA60" t="s">
        <v>219</v>
      </c>
      <c r="AB60">
        <v>3</v>
      </c>
      <c r="AC60">
        <v>3</v>
      </c>
      <c r="AD60">
        <v>25</v>
      </c>
      <c r="AE60">
        <f>AD60*(AC60+AB60)</f>
        <v>150</v>
      </c>
      <c r="AG60" s="93">
        <f t="shared" si="6"/>
        <v>75</v>
      </c>
      <c r="AH60" s="93">
        <f t="shared" si="7"/>
        <v>75</v>
      </c>
      <c r="AJ60" s="52" t="s">
        <v>186</v>
      </c>
      <c r="AK60" s="52">
        <f>AK59+AK57</f>
        <v>400</v>
      </c>
    </row>
    <row r="61" spans="1:39">
      <c r="A61" t="s">
        <v>122</v>
      </c>
      <c r="B61">
        <v>3</v>
      </c>
      <c r="C61">
        <v>1</v>
      </c>
      <c r="D61">
        <v>3</v>
      </c>
      <c r="E61">
        <v>0</v>
      </c>
      <c r="F61">
        <v>30</v>
      </c>
      <c r="G61">
        <v>25</v>
      </c>
      <c r="H61">
        <v>3</v>
      </c>
      <c r="I61">
        <f>(D61*F61*H61)+(E61*G61*H61)</f>
        <v>270</v>
      </c>
      <c r="J61">
        <v>9</v>
      </c>
      <c r="L61" t="s">
        <v>134</v>
      </c>
      <c r="M61">
        <v>3</v>
      </c>
      <c r="N61">
        <v>1</v>
      </c>
      <c r="O61">
        <v>3</v>
      </c>
      <c r="P61">
        <v>0</v>
      </c>
      <c r="Q61">
        <v>30</v>
      </c>
      <c r="R61">
        <v>25</v>
      </c>
      <c r="S61">
        <v>3</v>
      </c>
      <c r="T61">
        <f>(O61*Q61*S61)+(P61*R61*S61)</f>
        <v>270</v>
      </c>
      <c r="U61">
        <v>9</v>
      </c>
      <c r="W61" t="s">
        <v>156</v>
      </c>
      <c r="AA61" t="s">
        <v>220</v>
      </c>
      <c r="AB61">
        <v>3</v>
      </c>
      <c r="AC61">
        <v>3</v>
      </c>
      <c r="AE61">
        <f>190*(6/4)</f>
        <v>285</v>
      </c>
      <c r="AF61" t="s">
        <v>223</v>
      </c>
      <c r="AG61" s="93">
        <f t="shared" si="6"/>
        <v>142.5</v>
      </c>
      <c r="AH61" s="93">
        <f t="shared" si="7"/>
        <v>142.5</v>
      </c>
      <c r="AJ61" t="s">
        <v>187</v>
      </c>
      <c r="AK61" s="50">
        <v>200</v>
      </c>
    </row>
    <row r="62" spans="1:39">
      <c r="A62" t="s">
        <v>123</v>
      </c>
      <c r="B62">
        <v>3</v>
      </c>
      <c r="C62">
        <v>1</v>
      </c>
      <c r="D62">
        <v>3</v>
      </c>
      <c r="E62">
        <v>0</v>
      </c>
      <c r="F62">
        <v>30</v>
      </c>
      <c r="G62">
        <v>25</v>
      </c>
      <c r="H62">
        <v>2</v>
      </c>
      <c r="I62">
        <f>(D62*F62*H62)+(E62*G62*H62)</f>
        <v>180</v>
      </c>
      <c r="J62">
        <v>9</v>
      </c>
      <c r="L62" t="s">
        <v>135</v>
      </c>
      <c r="M62">
        <v>3</v>
      </c>
      <c r="N62">
        <v>1</v>
      </c>
      <c r="O62">
        <v>3</v>
      </c>
      <c r="P62">
        <v>0</v>
      </c>
      <c r="Q62">
        <v>30</v>
      </c>
      <c r="R62">
        <v>25</v>
      </c>
      <c r="S62">
        <v>2</v>
      </c>
      <c r="T62">
        <f>(O62*Q62*S62)+(P62*R62*S62)</f>
        <v>180</v>
      </c>
      <c r="U62">
        <v>9</v>
      </c>
      <c r="W62" t="s">
        <v>144</v>
      </c>
      <c r="X62">
        <v>300</v>
      </c>
      <c r="AA62" t="s">
        <v>221</v>
      </c>
      <c r="AB62">
        <v>4</v>
      </c>
      <c r="AC62">
        <v>3</v>
      </c>
      <c r="AE62">
        <f>160</f>
        <v>160</v>
      </c>
      <c r="AF62" t="s">
        <v>223</v>
      </c>
      <c r="AG62" s="93">
        <f t="shared" si="6"/>
        <v>91.428571428571431</v>
      </c>
      <c r="AH62" s="93">
        <f t="shared" si="7"/>
        <v>68.571428571428569</v>
      </c>
      <c r="AJ62" t="s">
        <v>188</v>
      </c>
      <c r="AK62">
        <f>AM55*AK56+AM55*AK58</f>
        <v>80</v>
      </c>
    </row>
    <row r="63" spans="1:39">
      <c r="A63" t="s">
        <v>124</v>
      </c>
      <c r="B63">
        <v>3</v>
      </c>
      <c r="C63">
        <v>0</v>
      </c>
      <c r="D63">
        <v>0</v>
      </c>
      <c r="E63">
        <v>0</v>
      </c>
      <c r="F63">
        <v>30</v>
      </c>
      <c r="G63">
        <v>25</v>
      </c>
      <c r="H63">
        <v>6</v>
      </c>
      <c r="I63">
        <f>(D63*F63*H63)+(E63*G63*H63)</f>
        <v>0</v>
      </c>
      <c r="J63" t="s">
        <v>152</v>
      </c>
      <c r="W63" t="s">
        <v>157</v>
      </c>
      <c r="X63">
        <v>100</v>
      </c>
      <c r="AG63" s="93"/>
      <c r="AH63" s="93"/>
      <c r="AJ63" s="48" t="s">
        <v>13</v>
      </c>
      <c r="AK63" s="48">
        <f>AK54+AK60+AK61-AK62</f>
        <v>535</v>
      </c>
    </row>
    <row r="64" spans="1:39" ht="13.5" thickBot="1">
      <c r="A64" s="48"/>
      <c r="B64" s="48">
        <f t="shared" ref="B64:H64" si="8">SUM(B60:B63)</f>
        <v>13</v>
      </c>
      <c r="C64" s="48">
        <f t="shared" si="8"/>
        <v>3</v>
      </c>
      <c r="D64" s="48">
        <f t="shared" si="8"/>
        <v>10</v>
      </c>
      <c r="E64" s="48">
        <f t="shared" si="8"/>
        <v>1</v>
      </c>
      <c r="F64" s="48">
        <f t="shared" si="8"/>
        <v>120</v>
      </c>
      <c r="G64" s="48">
        <f t="shared" si="8"/>
        <v>100</v>
      </c>
      <c r="H64" s="48">
        <f t="shared" si="8"/>
        <v>15</v>
      </c>
      <c r="I64" s="48">
        <f>SUM(I60:I63)</f>
        <v>1030</v>
      </c>
      <c r="J64" s="48">
        <f>SUM(J60:J63)</f>
        <v>27</v>
      </c>
      <c r="L64" s="48"/>
      <c r="M64" s="48">
        <f t="shared" ref="M64:U64" si="9">SUM(M60:M63)</f>
        <v>10</v>
      </c>
      <c r="N64" s="48">
        <f t="shared" si="9"/>
        <v>3</v>
      </c>
      <c r="O64" s="48">
        <f t="shared" si="9"/>
        <v>10</v>
      </c>
      <c r="P64" s="48">
        <f t="shared" si="9"/>
        <v>1</v>
      </c>
      <c r="Q64" s="48">
        <f t="shared" si="9"/>
        <v>90</v>
      </c>
      <c r="R64" s="48">
        <f t="shared" si="9"/>
        <v>75</v>
      </c>
      <c r="S64" s="48">
        <f t="shared" si="9"/>
        <v>9</v>
      </c>
      <c r="T64" s="48">
        <f t="shared" si="9"/>
        <v>1030</v>
      </c>
      <c r="U64" s="48">
        <f t="shared" si="9"/>
        <v>27</v>
      </c>
      <c r="W64" s="48" t="s">
        <v>13</v>
      </c>
      <c r="X64" s="48">
        <f>SUM(X59:X63)</f>
        <v>1100</v>
      </c>
      <c r="Y64" s="48"/>
      <c r="AA64" s="48" t="s">
        <v>13</v>
      </c>
      <c r="AB64" s="48"/>
      <c r="AC64" s="48"/>
      <c r="AD64" s="48"/>
      <c r="AE64" s="48">
        <f>SUM(AE57:AE63)</f>
        <v>1300</v>
      </c>
      <c r="AG64" s="93">
        <f>SUM(AG57:AG62)</f>
        <v>698.92857142857144</v>
      </c>
      <c r="AH64" s="93">
        <f>SUM(AH57:AH62)</f>
        <v>601.07142857142856</v>
      </c>
    </row>
    <row r="65" spans="1:37" ht="14.25" thickTop="1" thickBot="1">
      <c r="AG65" s="93"/>
      <c r="AH65" s="93"/>
      <c r="AJ65" s="49" t="s">
        <v>13</v>
      </c>
      <c r="AK65" s="49">
        <f>AK63+AK50</f>
        <v>570</v>
      </c>
    </row>
    <row r="66" spans="1:37" ht="13.5" thickTop="1">
      <c r="AG66" s="93"/>
      <c r="AH66" s="93"/>
    </row>
    <row r="67" spans="1:37">
      <c r="AG67" s="93"/>
      <c r="AH67" s="93"/>
    </row>
    <row r="68" spans="1:37">
      <c r="A68" t="s">
        <v>109</v>
      </c>
      <c r="L68" t="s">
        <v>109</v>
      </c>
      <c r="W68" t="s">
        <v>109</v>
      </c>
      <c r="AA68" t="s">
        <v>109</v>
      </c>
      <c r="AG68" s="93"/>
      <c r="AH68" s="93"/>
    </row>
    <row r="69" spans="1:37">
      <c r="Y69" t="s">
        <v>158</v>
      </c>
      <c r="AG69" s="93"/>
      <c r="AH69" s="93"/>
    </row>
    <row r="70" spans="1:37">
      <c r="A70" t="s">
        <v>90</v>
      </c>
      <c r="B70" t="s">
        <v>110</v>
      </c>
      <c r="C70" t="s">
        <v>111</v>
      </c>
      <c r="D70" t="s">
        <v>112</v>
      </c>
      <c r="E70" t="s">
        <v>113</v>
      </c>
      <c r="F70" t="s">
        <v>119</v>
      </c>
      <c r="G70" t="s">
        <v>120</v>
      </c>
      <c r="H70" t="s">
        <v>118</v>
      </c>
      <c r="I70" t="s">
        <v>13</v>
      </c>
      <c r="L70" t="s">
        <v>90</v>
      </c>
      <c r="M70" t="s">
        <v>110</v>
      </c>
      <c r="N70" t="s">
        <v>111</v>
      </c>
      <c r="O70" t="s">
        <v>112</v>
      </c>
      <c r="P70" t="s">
        <v>113</v>
      </c>
      <c r="Q70" t="s">
        <v>119</v>
      </c>
      <c r="R70" t="s">
        <v>120</v>
      </c>
      <c r="S70" t="s">
        <v>118</v>
      </c>
      <c r="T70" t="s">
        <v>13</v>
      </c>
      <c r="W70" t="s">
        <v>154</v>
      </c>
      <c r="X70">
        <v>700</v>
      </c>
      <c r="AA70" t="s">
        <v>224</v>
      </c>
      <c r="AB70" t="s">
        <v>152</v>
      </c>
      <c r="AC70" t="s">
        <v>152</v>
      </c>
      <c r="AE70">
        <v>50</v>
      </c>
      <c r="AG70" s="93"/>
      <c r="AH70" s="93"/>
    </row>
    <row r="71" spans="1:37">
      <c r="A71" t="s">
        <v>121</v>
      </c>
      <c r="B71">
        <v>6</v>
      </c>
      <c r="C71">
        <v>1</v>
      </c>
      <c r="D71">
        <v>6</v>
      </c>
      <c r="E71">
        <v>0</v>
      </c>
      <c r="F71">
        <v>30</v>
      </c>
      <c r="G71">
        <v>25</v>
      </c>
      <c r="H71">
        <v>4</v>
      </c>
      <c r="I71">
        <f>(D71*F71*H71)+(E71*G71*H71)</f>
        <v>720</v>
      </c>
      <c r="J71">
        <v>9</v>
      </c>
      <c r="L71" t="s">
        <v>132</v>
      </c>
      <c r="M71">
        <v>6</v>
      </c>
      <c r="N71">
        <v>1</v>
      </c>
      <c r="O71">
        <v>6</v>
      </c>
      <c r="P71">
        <v>0</v>
      </c>
      <c r="Q71">
        <v>30</v>
      </c>
      <c r="R71">
        <v>25</v>
      </c>
      <c r="S71">
        <v>4</v>
      </c>
      <c r="T71">
        <f>(O71*Q71*S71)+(P71*R71*S71)</f>
        <v>720</v>
      </c>
      <c r="U71">
        <v>9</v>
      </c>
      <c r="W71" t="s">
        <v>155</v>
      </c>
      <c r="AA71" t="s">
        <v>225</v>
      </c>
      <c r="AB71">
        <v>4</v>
      </c>
      <c r="AC71">
        <v>2</v>
      </c>
      <c r="AD71">
        <v>5</v>
      </c>
      <c r="AE71">
        <f>AD71*8*(AC71+AB71)</f>
        <v>240</v>
      </c>
      <c r="AF71" t="s">
        <v>223</v>
      </c>
      <c r="AG71" s="93">
        <f>(AE71/($AC71+$AB71))*AB71</f>
        <v>160</v>
      </c>
      <c r="AH71" s="93">
        <f>(AE71/($AC71+$AB71))*AC71</f>
        <v>80</v>
      </c>
    </row>
    <row r="72" spans="1:37">
      <c r="A72" t="s">
        <v>122</v>
      </c>
      <c r="B72">
        <v>4</v>
      </c>
      <c r="C72">
        <v>1</v>
      </c>
      <c r="D72">
        <v>4</v>
      </c>
      <c r="E72">
        <v>0</v>
      </c>
      <c r="F72">
        <v>30</v>
      </c>
      <c r="G72">
        <v>25</v>
      </c>
      <c r="H72">
        <v>4</v>
      </c>
      <c r="I72">
        <f>(D72*F72*H72)+(E72*G72*H72)</f>
        <v>480</v>
      </c>
      <c r="J72">
        <v>9</v>
      </c>
      <c r="L72" t="s">
        <v>134</v>
      </c>
      <c r="M72">
        <v>4</v>
      </c>
      <c r="N72">
        <v>1</v>
      </c>
      <c r="O72">
        <v>4</v>
      </c>
      <c r="P72">
        <v>0</v>
      </c>
      <c r="Q72">
        <v>30</v>
      </c>
      <c r="R72">
        <v>25</v>
      </c>
      <c r="S72">
        <v>4</v>
      </c>
      <c r="T72">
        <f>(O72*Q72*S72)+(P72*R72*S72)</f>
        <v>480</v>
      </c>
      <c r="U72">
        <v>9</v>
      </c>
      <c r="W72" t="s">
        <v>156</v>
      </c>
      <c r="AA72" t="s">
        <v>226</v>
      </c>
      <c r="AB72">
        <v>4</v>
      </c>
      <c r="AC72">
        <v>2</v>
      </c>
      <c r="AD72">
        <v>6</v>
      </c>
      <c r="AE72">
        <f>AD72*8*(AC72+AB72)</f>
        <v>288</v>
      </c>
      <c r="AF72" t="s">
        <v>223</v>
      </c>
      <c r="AG72" s="93">
        <f>(AE72/($AC72+$AB72))*AB72</f>
        <v>192</v>
      </c>
      <c r="AH72" s="93">
        <f>(AE72/($AC72+$AB72))*AC72</f>
        <v>96</v>
      </c>
    </row>
    <row r="73" spans="1:37">
      <c r="A73" t="s">
        <v>123</v>
      </c>
      <c r="B73">
        <v>3</v>
      </c>
      <c r="C73">
        <v>1</v>
      </c>
      <c r="D73">
        <v>3</v>
      </c>
      <c r="E73">
        <v>0</v>
      </c>
      <c r="F73">
        <v>30</v>
      </c>
      <c r="G73">
        <v>25</v>
      </c>
      <c r="H73">
        <v>2</v>
      </c>
      <c r="I73">
        <f>(D73*F73*H73)+(E73*G73*H73)</f>
        <v>180</v>
      </c>
      <c r="J73">
        <v>9</v>
      </c>
      <c r="W73" t="s">
        <v>144</v>
      </c>
      <c r="X73">
        <v>0</v>
      </c>
      <c r="AA73" t="s">
        <v>227</v>
      </c>
      <c r="AB73">
        <v>2</v>
      </c>
      <c r="AC73">
        <v>1</v>
      </c>
      <c r="AD73">
        <v>5</v>
      </c>
      <c r="AE73">
        <f>AD73*8*(AC73+AB73)</f>
        <v>120</v>
      </c>
      <c r="AF73" t="s">
        <v>223</v>
      </c>
      <c r="AG73" s="93">
        <f>(AE73/($AC73+$AB73))*AB73</f>
        <v>80</v>
      </c>
      <c r="AH73" s="93">
        <f>(AE73/($AC73+$AB73))*AC73</f>
        <v>40</v>
      </c>
    </row>
    <row r="74" spans="1:37">
      <c r="A74" t="s">
        <v>125</v>
      </c>
      <c r="B74">
        <v>3</v>
      </c>
      <c r="C74">
        <v>1</v>
      </c>
      <c r="D74">
        <v>2</v>
      </c>
      <c r="E74">
        <v>0</v>
      </c>
      <c r="F74">
        <v>15</v>
      </c>
      <c r="G74">
        <v>15</v>
      </c>
      <c r="H74">
        <v>2</v>
      </c>
      <c r="I74">
        <f>(D74*F74*H74)+(E74*G74*H74)</f>
        <v>60</v>
      </c>
      <c r="J74">
        <v>9</v>
      </c>
      <c r="W74" t="s">
        <v>157</v>
      </c>
      <c r="X74">
        <v>0</v>
      </c>
      <c r="AA74" t="s">
        <v>217</v>
      </c>
      <c r="AB74">
        <v>3</v>
      </c>
      <c r="AC74">
        <v>2</v>
      </c>
      <c r="AD74">
        <v>6</v>
      </c>
      <c r="AE74">
        <f>AD74*8*(AC74+AB74)</f>
        <v>240</v>
      </c>
      <c r="AF74" t="s">
        <v>223</v>
      </c>
      <c r="AG74" s="93">
        <f>(AE74/($AC74+$AB74))*AB74</f>
        <v>144</v>
      </c>
      <c r="AH74" s="93">
        <f>(AE74/($AC74+$AB74))*AC74</f>
        <v>96</v>
      </c>
    </row>
    <row r="75" spans="1:37">
      <c r="A75" t="s">
        <v>124</v>
      </c>
      <c r="B75">
        <v>3</v>
      </c>
      <c r="C75">
        <v>0</v>
      </c>
      <c r="D75">
        <v>0</v>
      </c>
      <c r="E75">
        <v>0</v>
      </c>
      <c r="F75">
        <v>30</v>
      </c>
      <c r="G75">
        <v>25</v>
      </c>
      <c r="H75">
        <v>8</v>
      </c>
      <c r="I75">
        <f>(D75*F75*H75)+(E75*G75*H75)</f>
        <v>0</v>
      </c>
      <c r="J75" t="s">
        <v>152</v>
      </c>
      <c r="AA75" t="s">
        <v>228</v>
      </c>
      <c r="AB75">
        <v>4</v>
      </c>
      <c r="AC75">
        <v>2</v>
      </c>
      <c r="AE75">
        <v>192</v>
      </c>
      <c r="AF75" t="s">
        <v>223</v>
      </c>
      <c r="AG75" s="93">
        <f>(AE75/($AC75+$AB75))*AB75</f>
        <v>128</v>
      </c>
      <c r="AH75" s="93">
        <f>(AE75/($AC75+$AB75))*AC75</f>
        <v>64</v>
      </c>
    </row>
    <row r="76" spans="1:37">
      <c r="A76" s="48"/>
      <c r="B76" s="48">
        <f t="shared" ref="B76:H76" si="10">SUM(B71:B75)</f>
        <v>19</v>
      </c>
      <c r="C76" s="48">
        <f t="shared" si="10"/>
        <v>4</v>
      </c>
      <c r="D76" s="48">
        <f t="shared" si="10"/>
        <v>15</v>
      </c>
      <c r="E76" s="48">
        <f t="shared" si="10"/>
        <v>0</v>
      </c>
      <c r="F76" s="48">
        <f t="shared" si="10"/>
        <v>135</v>
      </c>
      <c r="G76" s="48">
        <f t="shared" si="10"/>
        <v>115</v>
      </c>
      <c r="H76" s="48">
        <f t="shared" si="10"/>
        <v>20</v>
      </c>
      <c r="I76" s="48">
        <f>SUM(I71:I75)</f>
        <v>1440</v>
      </c>
      <c r="J76" s="48">
        <f>SUM(J71:J75)</f>
        <v>36</v>
      </c>
      <c r="L76" s="48"/>
      <c r="M76" s="48">
        <f t="shared" ref="M76:U76" si="11">SUM(M71:M75)</f>
        <v>10</v>
      </c>
      <c r="N76" s="48">
        <f t="shared" si="11"/>
        <v>2</v>
      </c>
      <c r="O76" s="48">
        <f t="shared" si="11"/>
        <v>10</v>
      </c>
      <c r="P76" s="48">
        <f t="shared" si="11"/>
        <v>0</v>
      </c>
      <c r="Q76" s="48">
        <f t="shared" si="11"/>
        <v>60</v>
      </c>
      <c r="R76" s="48">
        <f t="shared" si="11"/>
        <v>50</v>
      </c>
      <c r="S76" s="48">
        <f t="shared" si="11"/>
        <v>8</v>
      </c>
      <c r="T76" s="48">
        <f t="shared" si="11"/>
        <v>1200</v>
      </c>
      <c r="U76" s="48">
        <f t="shared" si="11"/>
        <v>18</v>
      </c>
      <c r="W76" s="48" t="s">
        <v>13</v>
      </c>
      <c r="X76" s="48">
        <f>SUM(X70:X74)</f>
        <v>700</v>
      </c>
      <c r="Y76" s="48"/>
      <c r="AA76" s="48" t="s">
        <v>13</v>
      </c>
      <c r="AB76" s="48"/>
      <c r="AC76" s="48"/>
      <c r="AD76" s="48"/>
      <c r="AE76" s="48">
        <f>SUM(AE70:AE75)</f>
        <v>1130</v>
      </c>
      <c r="AG76" s="93">
        <f>SUM(AG71:AG75)</f>
        <v>704</v>
      </c>
      <c r="AH76" s="93">
        <f>SUM(AH71:AH75)</f>
        <v>376</v>
      </c>
    </row>
    <row r="77" spans="1:37" ht="13.5" thickBot="1"/>
    <row r="78" spans="1:37" ht="14.25" thickTop="1" thickBot="1">
      <c r="A78" t="s">
        <v>13</v>
      </c>
      <c r="B78" s="49">
        <f t="shared" ref="B78:J78" si="12">B76+B64+B55</f>
        <v>56</v>
      </c>
      <c r="C78" s="49">
        <f t="shared" si="12"/>
        <v>14</v>
      </c>
      <c r="D78" s="49">
        <f t="shared" si="12"/>
        <v>36</v>
      </c>
      <c r="E78" s="49">
        <f t="shared" si="12"/>
        <v>1</v>
      </c>
      <c r="F78" s="49">
        <f t="shared" si="12"/>
        <v>495</v>
      </c>
      <c r="G78" s="49">
        <f t="shared" si="12"/>
        <v>415</v>
      </c>
      <c r="H78" s="49">
        <f t="shared" si="12"/>
        <v>75</v>
      </c>
      <c r="I78" s="49">
        <f t="shared" si="12"/>
        <v>3460</v>
      </c>
      <c r="J78" s="49">
        <f t="shared" si="12"/>
        <v>105</v>
      </c>
      <c r="L78" t="s">
        <v>13</v>
      </c>
      <c r="M78" s="49">
        <f t="shared" ref="M78:U78" si="13">M76+M64+M55</f>
        <v>35</v>
      </c>
      <c r="N78" s="49">
        <f t="shared" si="13"/>
        <v>10</v>
      </c>
      <c r="O78" s="49">
        <f t="shared" si="13"/>
        <v>28</v>
      </c>
      <c r="P78" s="49">
        <f t="shared" si="13"/>
        <v>1</v>
      </c>
      <c r="Q78" s="49">
        <f t="shared" si="13"/>
        <v>300</v>
      </c>
      <c r="R78" s="49">
        <f t="shared" si="13"/>
        <v>250</v>
      </c>
      <c r="S78" s="49">
        <f t="shared" si="13"/>
        <v>42</v>
      </c>
      <c r="T78" s="49">
        <f t="shared" si="13"/>
        <v>2950</v>
      </c>
      <c r="U78" s="49">
        <f t="shared" si="13"/>
        <v>86</v>
      </c>
      <c r="W78" s="49" t="s">
        <v>13</v>
      </c>
      <c r="X78" s="49">
        <f>X76+X64+X55</f>
        <v>3850</v>
      </c>
      <c r="Y78" s="49"/>
      <c r="AA78" s="49" t="s">
        <v>13</v>
      </c>
      <c r="AB78" s="49"/>
      <c r="AC78" s="49"/>
      <c r="AD78" s="49"/>
      <c r="AE78" s="49">
        <f>AE76+AE64+AE55</f>
        <v>3762.6</v>
      </c>
      <c r="AG78" s="49">
        <f>AG76+AG64+AG55</f>
        <v>2097.9800865800867</v>
      </c>
      <c r="AH78" s="49">
        <f>AH76+AH64+AH55</f>
        <v>1614.6199134199132</v>
      </c>
    </row>
    <row r="79" spans="1:37" ht="13.5" thickTop="1"/>
  </sheetData>
  <phoneticPr fontId="2" type="noConversion"/>
  <pageMargins left="0.75" right="0.75" top="1" bottom="1" header="0.5" footer="0.5"/>
  <pageSetup paperSize="9" orientation="portrait" horizontalDpi="4294967293" verticalDpi="0" r:id="rId1"/>
  <headerFooter alignWithMargins="0"/>
</worksheet>
</file>

<file path=xl/worksheets/sheet13.xml><?xml version="1.0" encoding="utf-8"?>
<worksheet xmlns="http://schemas.openxmlformats.org/spreadsheetml/2006/main" xmlns:r="http://schemas.openxmlformats.org/officeDocument/2006/relationships">
  <sheetPr enableFormatConditionsCalculation="0">
    <tabColor indexed="52"/>
  </sheetPr>
  <dimension ref="B2:K38"/>
  <sheetViews>
    <sheetView topLeftCell="E1" workbookViewId="0">
      <selection activeCell="Q7" sqref="Q7"/>
    </sheetView>
  </sheetViews>
  <sheetFormatPr defaultRowHeight="12.75"/>
  <cols>
    <col min="3" max="3" width="15.28515625" bestFit="1" customWidth="1"/>
    <col min="4" max="4" width="13.28515625" bestFit="1" customWidth="1"/>
    <col min="5" max="5" width="18.140625" bestFit="1" customWidth="1"/>
    <col min="7" max="7" width="14.7109375" bestFit="1" customWidth="1"/>
    <col min="8" max="8" width="25.42578125" customWidth="1"/>
    <col min="9" max="9" width="12.5703125" bestFit="1" customWidth="1"/>
  </cols>
  <sheetData>
    <row r="2" spans="2:11">
      <c r="C2" t="s">
        <v>471</v>
      </c>
      <c r="D2" t="s">
        <v>513</v>
      </c>
      <c r="E2" t="s">
        <v>514</v>
      </c>
      <c r="G2" t="s">
        <v>515</v>
      </c>
      <c r="H2" t="s">
        <v>158</v>
      </c>
      <c r="I2" t="s">
        <v>516</v>
      </c>
      <c r="J2" t="s">
        <v>158</v>
      </c>
      <c r="K2" t="s">
        <v>517</v>
      </c>
    </row>
    <row r="3" spans="2:11">
      <c r="B3" s="32" t="s">
        <v>518</v>
      </c>
      <c r="C3">
        <v>990</v>
      </c>
      <c r="D3">
        <v>695</v>
      </c>
    </row>
    <row r="4" spans="2:11">
      <c r="B4" t="s">
        <v>208</v>
      </c>
      <c r="E4">
        <v>130</v>
      </c>
      <c r="G4">
        <f>20*3</f>
        <v>60</v>
      </c>
      <c r="H4" t="s">
        <v>519</v>
      </c>
      <c r="I4">
        <v>48</v>
      </c>
      <c r="J4" t="s">
        <v>520</v>
      </c>
    </row>
    <row r="5" spans="2:11">
      <c r="B5" t="s">
        <v>209</v>
      </c>
      <c r="E5">
        <v>53</v>
      </c>
      <c r="G5">
        <v>460</v>
      </c>
      <c r="H5" t="s">
        <v>521</v>
      </c>
      <c r="I5">
        <f>15+40</f>
        <v>55</v>
      </c>
      <c r="J5" t="s">
        <v>522</v>
      </c>
    </row>
    <row r="6" spans="2:11">
      <c r="B6" t="s">
        <v>523</v>
      </c>
      <c r="E6">
        <v>120</v>
      </c>
      <c r="G6">
        <f>7*30</f>
        <v>210</v>
      </c>
      <c r="H6" t="s">
        <v>524</v>
      </c>
      <c r="I6">
        <v>75</v>
      </c>
      <c r="J6" t="s">
        <v>525</v>
      </c>
    </row>
    <row r="7" spans="2:11">
      <c r="B7" t="s">
        <v>210</v>
      </c>
      <c r="E7">
        <v>166</v>
      </c>
      <c r="G7">
        <v>70</v>
      </c>
      <c r="H7" t="s">
        <v>526</v>
      </c>
      <c r="I7">
        <f>(35*4)+(24*2)</f>
        <v>188</v>
      </c>
      <c r="J7" t="s">
        <v>527</v>
      </c>
    </row>
    <row r="8" spans="2:11">
      <c r="B8" t="s">
        <v>528</v>
      </c>
      <c r="E8">
        <v>108</v>
      </c>
      <c r="G8">
        <v>40</v>
      </c>
      <c r="H8" t="s">
        <v>529</v>
      </c>
      <c r="I8">
        <f>235/5*3</f>
        <v>141</v>
      </c>
      <c r="J8" t="s">
        <v>530</v>
      </c>
    </row>
    <row r="9" spans="2:11">
      <c r="B9" t="s">
        <v>531</v>
      </c>
      <c r="E9">
        <v>119</v>
      </c>
      <c r="I9">
        <f>(198/5)*3</f>
        <v>118.80000000000001</v>
      </c>
      <c r="J9" t="s">
        <v>532</v>
      </c>
    </row>
    <row r="10" spans="2:11">
      <c r="B10" t="s">
        <v>533</v>
      </c>
      <c r="I10">
        <v>44</v>
      </c>
      <c r="J10" t="s">
        <v>534</v>
      </c>
    </row>
    <row r="11" spans="2:11">
      <c r="F11" t="s">
        <v>13</v>
      </c>
      <c r="G11">
        <f>SUM(G3:G9)</f>
        <v>840</v>
      </c>
      <c r="I11">
        <f>SUM(I3:I10)</f>
        <v>669.8</v>
      </c>
      <c r="K11">
        <f>I11+G11</f>
        <v>1509.8</v>
      </c>
    </row>
    <row r="12" spans="2:11">
      <c r="F12" t="s">
        <v>535</v>
      </c>
      <c r="G12">
        <f>C3-G11</f>
        <v>150</v>
      </c>
      <c r="I12">
        <f>D3-I11</f>
        <v>25.200000000000045</v>
      </c>
      <c r="K12">
        <f>I12+G12</f>
        <v>175.20000000000005</v>
      </c>
    </row>
    <row r="14" spans="2:11">
      <c r="B14" s="32" t="s">
        <v>108</v>
      </c>
      <c r="C14">
        <v>1030</v>
      </c>
      <c r="D14">
        <v>699</v>
      </c>
    </row>
    <row r="15" spans="2:11">
      <c r="B15" t="s">
        <v>536</v>
      </c>
      <c r="E15">
        <v>144</v>
      </c>
      <c r="G15">
        <f>(25*13)+(3*15)</f>
        <v>370</v>
      </c>
      <c r="H15" t="s">
        <v>583</v>
      </c>
      <c r="I15">
        <f>(240/5)*3</f>
        <v>144</v>
      </c>
      <c r="J15" t="s">
        <v>577</v>
      </c>
    </row>
    <row r="16" spans="2:11">
      <c r="B16" t="s">
        <v>218</v>
      </c>
      <c r="E16">
        <v>96</v>
      </c>
      <c r="G16">
        <v>470</v>
      </c>
      <c r="H16" t="s">
        <v>575</v>
      </c>
      <c r="I16">
        <v>0</v>
      </c>
      <c r="J16" t="s">
        <v>574</v>
      </c>
    </row>
    <row r="17" spans="2:11">
      <c r="B17" t="s">
        <v>537</v>
      </c>
      <c r="E17">
        <v>150</v>
      </c>
      <c r="I17">
        <v>85</v>
      </c>
      <c r="J17" t="s">
        <v>539</v>
      </c>
    </row>
    <row r="18" spans="2:11">
      <c r="B18" t="s">
        <v>219</v>
      </c>
      <c r="E18">
        <v>75</v>
      </c>
      <c r="I18">
        <f>75</f>
        <v>75</v>
      </c>
      <c r="J18" t="s">
        <v>577</v>
      </c>
    </row>
    <row r="19" spans="2:11">
      <c r="B19" t="s">
        <v>220</v>
      </c>
      <c r="E19">
        <v>143</v>
      </c>
      <c r="I19">
        <f>((152+76)/6)*3</f>
        <v>114</v>
      </c>
      <c r="J19" t="s">
        <v>577</v>
      </c>
    </row>
    <row r="20" spans="2:11">
      <c r="B20" t="s">
        <v>221</v>
      </c>
      <c r="E20">
        <v>91</v>
      </c>
      <c r="I20">
        <f>(231/7)*4</f>
        <v>132</v>
      </c>
      <c r="J20" t="s">
        <v>584</v>
      </c>
    </row>
    <row r="21" spans="2:11">
      <c r="B21" t="s">
        <v>578</v>
      </c>
      <c r="I21">
        <f>(150/6)*3</f>
        <v>75</v>
      </c>
      <c r="J21" t="s">
        <v>577</v>
      </c>
    </row>
    <row r="22" spans="2:11">
      <c r="B22" t="s">
        <v>585</v>
      </c>
      <c r="I22">
        <v>32</v>
      </c>
      <c r="J22" t="s">
        <v>586</v>
      </c>
    </row>
    <row r="23" spans="2:11">
      <c r="F23" t="s">
        <v>13</v>
      </c>
      <c r="G23">
        <f>SUM(G14:G20)</f>
        <v>840</v>
      </c>
      <c r="I23">
        <f>SUM(I14:I22)</f>
        <v>657</v>
      </c>
      <c r="K23">
        <f>I23+G23</f>
        <v>1497</v>
      </c>
    </row>
    <row r="24" spans="2:11">
      <c r="F24" t="s">
        <v>535</v>
      </c>
      <c r="G24">
        <f>C14-G23</f>
        <v>190</v>
      </c>
      <c r="I24">
        <f>D14-I23</f>
        <v>42</v>
      </c>
      <c r="K24">
        <f>I24+G24</f>
        <v>232</v>
      </c>
    </row>
    <row r="26" spans="2:11">
      <c r="B26" s="32" t="s">
        <v>109</v>
      </c>
      <c r="C26">
        <v>1440</v>
      </c>
      <c r="D26">
        <f>SUM(E27:E34)</f>
        <v>738</v>
      </c>
    </row>
    <row r="27" spans="2:11">
      <c r="B27" t="s">
        <v>225</v>
      </c>
      <c r="E27">
        <v>160</v>
      </c>
      <c r="G27">
        <v>150</v>
      </c>
      <c r="H27" t="s">
        <v>570</v>
      </c>
      <c r="I27">
        <v>120</v>
      </c>
      <c r="J27" t="s">
        <v>577</v>
      </c>
    </row>
    <row r="28" spans="2:11">
      <c r="B28" t="s">
        <v>226</v>
      </c>
      <c r="E28">
        <v>192</v>
      </c>
      <c r="G28">
        <v>260</v>
      </c>
      <c r="H28" t="s">
        <v>571</v>
      </c>
      <c r="I28">
        <f>(336/7)*5</f>
        <v>240</v>
      </c>
      <c r="J28" t="s">
        <v>587</v>
      </c>
    </row>
    <row r="29" spans="2:11">
      <c r="B29" t="s">
        <v>227</v>
      </c>
      <c r="E29">
        <v>80</v>
      </c>
      <c r="G29">
        <v>10</v>
      </c>
      <c r="H29" t="s">
        <v>14</v>
      </c>
      <c r="I29">
        <v>40</v>
      </c>
      <c r="J29" t="s">
        <v>588</v>
      </c>
    </row>
    <row r="30" spans="2:11">
      <c r="B30" t="s">
        <v>536</v>
      </c>
      <c r="E30">
        <v>144</v>
      </c>
      <c r="G30">
        <v>125</v>
      </c>
      <c r="H30" t="s">
        <v>589</v>
      </c>
      <c r="I30">
        <f>3*6*8</f>
        <v>144</v>
      </c>
      <c r="J30" t="s">
        <v>577</v>
      </c>
    </row>
    <row r="31" spans="2:11">
      <c r="B31" t="s">
        <v>228</v>
      </c>
      <c r="E31">
        <v>128</v>
      </c>
      <c r="G31">
        <v>300</v>
      </c>
      <c r="H31" t="s">
        <v>590</v>
      </c>
      <c r="I31">
        <f>5*33</f>
        <v>165</v>
      </c>
      <c r="J31" t="s">
        <v>587</v>
      </c>
    </row>
    <row r="32" spans="2:11">
      <c r="B32" t="s">
        <v>580</v>
      </c>
      <c r="E32">
        <v>0</v>
      </c>
      <c r="G32">
        <v>200</v>
      </c>
      <c r="H32" t="s">
        <v>591</v>
      </c>
      <c r="I32">
        <v>40</v>
      </c>
      <c r="J32" t="s">
        <v>539</v>
      </c>
    </row>
    <row r="33" spans="2:11">
      <c r="B33" t="s">
        <v>592</v>
      </c>
      <c r="E33">
        <v>0</v>
      </c>
      <c r="I33">
        <v>24</v>
      </c>
      <c r="J33" t="s">
        <v>534</v>
      </c>
    </row>
    <row r="34" spans="2:11">
      <c r="B34" t="s">
        <v>224</v>
      </c>
      <c r="E34">
        <f>50-16</f>
        <v>34</v>
      </c>
      <c r="I34">
        <v>36</v>
      </c>
      <c r="J34" t="s">
        <v>593</v>
      </c>
    </row>
    <row r="35" spans="2:11">
      <c r="F35" t="s">
        <v>13</v>
      </c>
      <c r="G35">
        <f>SUM(G25:G34)</f>
        <v>1045</v>
      </c>
      <c r="I35">
        <f>SUM(I25:I34)</f>
        <v>809</v>
      </c>
      <c r="K35">
        <f>I35+G35</f>
        <v>1854</v>
      </c>
    </row>
    <row r="36" spans="2:11">
      <c r="F36" t="s">
        <v>535</v>
      </c>
      <c r="G36">
        <f>C26-G35</f>
        <v>395</v>
      </c>
      <c r="I36">
        <f>D26-I35</f>
        <v>-71</v>
      </c>
      <c r="K36">
        <f>I36+G36</f>
        <v>324</v>
      </c>
    </row>
    <row r="37" spans="2:11">
      <c r="B37" s="32" t="s">
        <v>13</v>
      </c>
      <c r="C37">
        <f>C26+C14+C3</f>
        <v>3460</v>
      </c>
      <c r="D37">
        <f>D26+D14+D3</f>
        <v>2132</v>
      </c>
      <c r="K37">
        <f>K35+K23+K11</f>
        <v>4860.8</v>
      </c>
    </row>
    <row r="38" spans="2:11">
      <c r="J38" t="s">
        <v>535</v>
      </c>
      <c r="K38">
        <f>K24+K36+K12</f>
        <v>731.2</v>
      </c>
    </row>
  </sheetData>
  <phoneticPr fontId="2"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sheetPr enableFormatConditionsCalculation="0">
    <tabColor indexed="52"/>
  </sheetPr>
  <dimension ref="B2:K34"/>
  <sheetViews>
    <sheetView workbookViewId="0">
      <selection activeCell="T53" sqref="T53"/>
    </sheetView>
  </sheetViews>
  <sheetFormatPr defaultRowHeight="12.75"/>
  <cols>
    <col min="3" max="3" width="15.28515625" bestFit="1" customWidth="1"/>
    <col min="4" max="4" width="13.28515625" bestFit="1" customWidth="1"/>
    <col min="5" max="5" width="18.140625" bestFit="1" customWidth="1"/>
    <col min="7" max="7" width="14.7109375" bestFit="1" customWidth="1"/>
    <col min="8" max="8" width="14.7109375" customWidth="1"/>
    <col min="9" max="9" width="12.5703125" bestFit="1" customWidth="1"/>
  </cols>
  <sheetData>
    <row r="2" spans="2:11">
      <c r="C2" t="s">
        <v>471</v>
      </c>
      <c r="D2" t="s">
        <v>513</v>
      </c>
      <c r="E2" t="s">
        <v>514</v>
      </c>
      <c r="G2" t="s">
        <v>515</v>
      </c>
      <c r="H2" t="s">
        <v>158</v>
      </c>
      <c r="I2" t="s">
        <v>516</v>
      </c>
      <c r="J2" t="s">
        <v>158</v>
      </c>
      <c r="K2" t="s">
        <v>517</v>
      </c>
    </row>
    <row r="3" spans="2:11">
      <c r="B3" s="32" t="s">
        <v>518</v>
      </c>
      <c r="C3">
        <v>720</v>
      </c>
      <c r="D3">
        <v>638</v>
      </c>
    </row>
    <row r="4" spans="2:11">
      <c r="B4" t="s">
        <v>208</v>
      </c>
      <c r="E4">
        <v>86</v>
      </c>
      <c r="G4">
        <f>9*20</f>
        <v>180</v>
      </c>
      <c r="H4" t="s">
        <v>538</v>
      </c>
      <c r="I4">
        <v>48</v>
      </c>
      <c r="J4" t="s">
        <v>539</v>
      </c>
    </row>
    <row r="5" spans="2:11">
      <c r="B5" t="s">
        <v>209</v>
      </c>
      <c r="E5">
        <v>107</v>
      </c>
      <c r="G5">
        <v>235</v>
      </c>
      <c r="H5" t="s">
        <v>540</v>
      </c>
      <c r="I5">
        <v>80</v>
      </c>
      <c r="J5" t="s">
        <v>541</v>
      </c>
    </row>
    <row r="6" spans="2:11">
      <c r="B6" t="s">
        <v>523</v>
      </c>
      <c r="E6">
        <v>80</v>
      </c>
      <c r="G6">
        <v>30</v>
      </c>
      <c r="H6" t="s">
        <v>542</v>
      </c>
      <c r="I6">
        <v>50</v>
      </c>
      <c r="J6" t="s">
        <v>520</v>
      </c>
    </row>
    <row r="7" spans="2:11">
      <c r="B7" t="s">
        <v>210</v>
      </c>
      <c r="E7">
        <v>138</v>
      </c>
      <c r="G7">
        <v>210</v>
      </c>
      <c r="H7" t="s">
        <v>554</v>
      </c>
      <c r="I7">
        <f>35*3</f>
        <v>105</v>
      </c>
      <c r="J7" t="s">
        <v>543</v>
      </c>
    </row>
    <row r="8" spans="2:11">
      <c r="B8" t="s">
        <v>528</v>
      </c>
      <c r="E8">
        <v>108</v>
      </c>
      <c r="I8">
        <f>235/5*2</f>
        <v>94</v>
      </c>
      <c r="J8" t="s">
        <v>544</v>
      </c>
    </row>
    <row r="9" spans="2:11">
      <c r="B9" t="s">
        <v>531</v>
      </c>
      <c r="E9">
        <v>119</v>
      </c>
      <c r="I9">
        <f>(198/5)*2</f>
        <v>79.2</v>
      </c>
      <c r="J9" t="s">
        <v>545</v>
      </c>
    </row>
    <row r="12" spans="2:11">
      <c r="F12" t="s">
        <v>13</v>
      </c>
      <c r="G12">
        <f>SUM(G4:G11)</f>
        <v>655</v>
      </c>
      <c r="I12">
        <f>SUM(I4:I11)</f>
        <v>456.2</v>
      </c>
      <c r="K12">
        <f>I12+G12</f>
        <v>1111.2</v>
      </c>
    </row>
    <row r="13" spans="2:11">
      <c r="B13" s="32" t="s">
        <v>108</v>
      </c>
      <c r="C13">
        <v>1030</v>
      </c>
      <c r="D13">
        <v>601</v>
      </c>
      <c r="F13" t="s">
        <v>535</v>
      </c>
      <c r="G13">
        <f>C3-G12</f>
        <v>65</v>
      </c>
      <c r="I13">
        <f>D3-I12</f>
        <v>181.8</v>
      </c>
      <c r="K13">
        <f>I13+G13</f>
        <v>246.8</v>
      </c>
    </row>
    <row r="14" spans="2:11">
      <c r="B14" t="s">
        <v>536</v>
      </c>
      <c r="E14">
        <v>144</v>
      </c>
      <c r="G14">
        <v>60</v>
      </c>
      <c r="H14" t="s">
        <v>572</v>
      </c>
      <c r="I14">
        <f>(240/5)*2</f>
        <v>96</v>
      </c>
      <c r="J14" t="s">
        <v>541</v>
      </c>
    </row>
    <row r="15" spans="2:11">
      <c r="B15" t="s">
        <v>218</v>
      </c>
      <c r="E15">
        <v>96</v>
      </c>
      <c r="G15">
        <f>(11*25)+(6*15)</f>
        <v>365</v>
      </c>
      <c r="H15" t="s">
        <v>573</v>
      </c>
      <c r="I15">
        <v>0</v>
      </c>
      <c r="J15" t="s">
        <v>574</v>
      </c>
    </row>
    <row r="16" spans="2:11">
      <c r="B16" t="s">
        <v>546</v>
      </c>
      <c r="E16">
        <v>75</v>
      </c>
      <c r="G16">
        <v>465</v>
      </c>
      <c r="H16" t="s">
        <v>575</v>
      </c>
      <c r="I16">
        <v>80</v>
      </c>
      <c r="J16" t="s">
        <v>539</v>
      </c>
    </row>
    <row r="17" spans="2:11">
      <c r="B17" t="s">
        <v>219</v>
      </c>
      <c r="E17">
        <v>75</v>
      </c>
      <c r="I17">
        <v>0</v>
      </c>
      <c r="J17" t="s">
        <v>576</v>
      </c>
    </row>
    <row r="18" spans="2:11">
      <c r="B18" t="s">
        <v>220</v>
      </c>
      <c r="E18">
        <v>143</v>
      </c>
      <c r="I18">
        <f>((152+76)/6)*3</f>
        <v>114</v>
      </c>
      <c r="J18" t="s">
        <v>577</v>
      </c>
    </row>
    <row r="19" spans="2:11">
      <c r="B19" t="s">
        <v>221</v>
      </c>
      <c r="E19">
        <v>69</v>
      </c>
      <c r="I19">
        <f>(231/7)*3</f>
        <v>99</v>
      </c>
      <c r="J19" t="s">
        <v>577</v>
      </c>
    </row>
    <row r="20" spans="2:11">
      <c r="B20" t="s">
        <v>578</v>
      </c>
      <c r="I20">
        <f>(150/6)*3</f>
        <v>75</v>
      </c>
      <c r="J20" t="s">
        <v>577</v>
      </c>
    </row>
    <row r="21" spans="2:11">
      <c r="F21" t="s">
        <v>13</v>
      </c>
      <c r="G21">
        <f>SUM(G14:G20)</f>
        <v>890</v>
      </c>
      <c r="I21">
        <f>SUM(I14:I20)</f>
        <v>464</v>
      </c>
      <c r="K21">
        <f>I21+G21</f>
        <v>1354</v>
      </c>
    </row>
    <row r="22" spans="2:11">
      <c r="F22" t="s">
        <v>535</v>
      </c>
      <c r="G22">
        <f>C13-G21</f>
        <v>140</v>
      </c>
      <c r="I22">
        <f>D13-I21</f>
        <v>137</v>
      </c>
      <c r="K22">
        <f>I22+G22</f>
        <v>277</v>
      </c>
    </row>
    <row r="23" spans="2:11">
      <c r="B23" s="32" t="s">
        <v>109</v>
      </c>
      <c r="C23">
        <v>1200</v>
      </c>
      <c r="D23">
        <f>SUM(E23:E30)</f>
        <v>392</v>
      </c>
    </row>
    <row r="24" spans="2:11">
      <c r="B24" t="s">
        <v>225</v>
      </c>
      <c r="E24">
        <v>80</v>
      </c>
      <c r="G24">
        <f>360-125</f>
        <v>235</v>
      </c>
      <c r="H24" t="s">
        <v>540</v>
      </c>
      <c r="I24">
        <v>80</v>
      </c>
      <c r="J24" t="s">
        <v>541</v>
      </c>
    </row>
    <row r="25" spans="2:11">
      <c r="B25" t="s">
        <v>226</v>
      </c>
      <c r="E25">
        <v>96</v>
      </c>
      <c r="G25">
        <v>22.49</v>
      </c>
      <c r="H25" t="s">
        <v>579</v>
      </c>
      <c r="I25">
        <f>(336/7)*2</f>
        <v>96</v>
      </c>
      <c r="J25" t="s">
        <v>541</v>
      </c>
    </row>
    <row r="26" spans="2:11">
      <c r="B26" t="s">
        <v>227</v>
      </c>
      <c r="E26">
        <v>40</v>
      </c>
      <c r="I26">
        <v>80</v>
      </c>
      <c r="J26" t="s">
        <v>541</v>
      </c>
    </row>
    <row r="27" spans="2:11">
      <c r="B27" t="s">
        <v>536</v>
      </c>
      <c r="E27">
        <v>96</v>
      </c>
      <c r="I27">
        <f>2*6*8</f>
        <v>96</v>
      </c>
      <c r="J27" t="s">
        <v>541</v>
      </c>
    </row>
    <row r="28" spans="2:11">
      <c r="B28" t="s">
        <v>228</v>
      </c>
      <c r="E28">
        <v>64</v>
      </c>
      <c r="I28">
        <f>2*33</f>
        <v>66</v>
      </c>
      <c r="J28" t="s">
        <v>541</v>
      </c>
    </row>
    <row r="29" spans="2:11">
      <c r="B29" t="s">
        <v>580</v>
      </c>
      <c r="E29">
        <v>0</v>
      </c>
      <c r="I29">
        <v>0</v>
      </c>
      <c r="J29" t="s">
        <v>581</v>
      </c>
    </row>
    <row r="30" spans="2:11">
      <c r="B30" t="s">
        <v>224</v>
      </c>
      <c r="E30">
        <v>16</v>
      </c>
      <c r="I30">
        <v>16</v>
      </c>
      <c r="J30" t="s">
        <v>582</v>
      </c>
    </row>
    <row r="31" spans="2:11">
      <c r="F31" t="s">
        <v>13</v>
      </c>
      <c r="G31">
        <f>SUM(G23:G30)</f>
        <v>257.49</v>
      </c>
      <c r="I31">
        <f>SUM(I23:I30)</f>
        <v>434</v>
      </c>
      <c r="K31">
        <f>SUM(K23:K30)</f>
        <v>0</v>
      </c>
    </row>
    <row r="32" spans="2:11">
      <c r="F32" t="s">
        <v>535</v>
      </c>
      <c r="G32">
        <f>C23-G31</f>
        <v>942.51</v>
      </c>
      <c r="I32">
        <f>D23-I31</f>
        <v>-42</v>
      </c>
      <c r="K32">
        <f>I32+G32</f>
        <v>900.51</v>
      </c>
    </row>
    <row r="33" spans="2:11">
      <c r="B33" s="32" t="s">
        <v>13</v>
      </c>
      <c r="C33">
        <f>C23+C13+C3</f>
        <v>2950</v>
      </c>
      <c r="D33">
        <f>D23+D13+D3</f>
        <v>1631</v>
      </c>
      <c r="K33">
        <f>K31+K21+K12</f>
        <v>2465.1999999999998</v>
      </c>
    </row>
    <row r="34" spans="2:11">
      <c r="J34" t="s">
        <v>535</v>
      </c>
      <c r="K34">
        <f>K33+K22+K13</f>
        <v>2989</v>
      </c>
    </row>
  </sheetData>
  <phoneticPr fontId="2" type="noConversion"/>
  <pageMargins left="0.75" right="0.75" top="1" bottom="1" header="0.5" footer="0.5"/>
  <pageSetup paperSize="9" orientation="portrait" horizontalDpi="4294967293" verticalDpi="0" r:id="rId1"/>
  <headerFooter alignWithMargins="0"/>
</worksheet>
</file>

<file path=xl/worksheets/sheet15.xml><?xml version="1.0" encoding="utf-8"?>
<worksheet xmlns="http://schemas.openxmlformats.org/spreadsheetml/2006/main" xmlns:r="http://schemas.openxmlformats.org/officeDocument/2006/relationships">
  <sheetPr enableFormatConditionsCalculation="0">
    <tabColor indexed="47"/>
  </sheetPr>
  <dimension ref="B1:E22"/>
  <sheetViews>
    <sheetView workbookViewId="0">
      <selection activeCell="V53" sqref="V53"/>
    </sheetView>
  </sheetViews>
  <sheetFormatPr defaultRowHeight="12.75"/>
  <cols>
    <col min="2" max="2" width="27.7109375" bestFit="1" customWidth="1"/>
    <col min="4" max="4" width="12.7109375" bestFit="1" customWidth="1"/>
  </cols>
  <sheetData>
    <row r="1" spans="2:5">
      <c r="C1" t="s">
        <v>462</v>
      </c>
      <c r="D1" t="s">
        <v>463</v>
      </c>
      <c r="E1" t="s">
        <v>464</v>
      </c>
    </row>
    <row r="2" spans="2:5">
      <c r="B2" t="s">
        <v>460</v>
      </c>
      <c r="C2">
        <v>750</v>
      </c>
      <c r="D2">
        <v>216</v>
      </c>
      <c r="E2">
        <f>C2-D2</f>
        <v>534</v>
      </c>
    </row>
    <row r="3" spans="2:5">
      <c r="B3" t="s">
        <v>461</v>
      </c>
      <c r="C3">
        <v>350</v>
      </c>
      <c r="D3">
        <v>415</v>
      </c>
      <c r="E3">
        <f>C3-D3</f>
        <v>-65</v>
      </c>
    </row>
    <row r="4" spans="2:5">
      <c r="B4" t="s">
        <v>549</v>
      </c>
    </row>
    <row r="5" spans="2:5">
      <c r="B5" t="s">
        <v>550</v>
      </c>
    </row>
    <row r="6" spans="2:5">
      <c r="B6" t="s">
        <v>547</v>
      </c>
    </row>
    <row r="7" spans="2:5">
      <c r="B7" t="s">
        <v>548</v>
      </c>
    </row>
    <row r="9" spans="2:5">
      <c r="B9" s="32" t="s">
        <v>139</v>
      </c>
    </row>
    <row r="10" spans="2:5">
      <c r="B10" t="s">
        <v>144</v>
      </c>
      <c r="C10">
        <v>300</v>
      </c>
    </row>
    <row r="11" spans="2:5">
      <c r="B11" t="s">
        <v>147</v>
      </c>
      <c r="C11" t="s">
        <v>152</v>
      </c>
    </row>
    <row r="12" spans="2:5">
      <c r="B12" t="s">
        <v>148</v>
      </c>
      <c r="C12">
        <v>40</v>
      </c>
    </row>
    <row r="13" spans="2:5">
      <c r="B13" t="s">
        <v>465</v>
      </c>
    </row>
    <row r="14" spans="2:5">
      <c r="B14" t="s">
        <v>466</v>
      </c>
    </row>
    <row r="15" spans="2:5">
      <c r="B15" t="s">
        <v>467</v>
      </c>
    </row>
    <row r="17" spans="2:2">
      <c r="B17" s="32" t="s">
        <v>136</v>
      </c>
    </row>
    <row r="18" spans="2:2">
      <c r="B18" t="s">
        <v>468</v>
      </c>
    </row>
    <row r="19" spans="2:2">
      <c r="B19" t="s">
        <v>469</v>
      </c>
    </row>
    <row r="20" spans="2:2">
      <c r="B20" t="s">
        <v>470</v>
      </c>
    </row>
    <row r="21" spans="2:2">
      <c r="B21" t="s">
        <v>471</v>
      </c>
    </row>
    <row r="22" spans="2:2">
      <c r="B22" t="s">
        <v>472</v>
      </c>
    </row>
  </sheetData>
  <phoneticPr fontId="2" type="noConversion"/>
  <pageMargins left="0.75" right="0.75" top="1" bottom="1" header="0.5" footer="0.5"/>
  <pageSetup paperSize="9" orientation="portrait" horizontalDpi="4294967293" verticalDpi="0" r:id="rId1"/>
  <headerFooter alignWithMargins="0"/>
</worksheet>
</file>

<file path=xl/worksheets/sheet16.xml><?xml version="1.0" encoding="utf-8"?>
<worksheet xmlns="http://schemas.openxmlformats.org/spreadsheetml/2006/main" xmlns:r="http://schemas.openxmlformats.org/officeDocument/2006/relationships">
  <sheetPr enableFormatConditionsCalculation="0">
    <tabColor indexed="60"/>
  </sheetPr>
  <dimension ref="A1:Y77"/>
  <sheetViews>
    <sheetView topLeftCell="A43" workbookViewId="0">
      <selection sqref="A1:M77"/>
    </sheetView>
  </sheetViews>
  <sheetFormatPr defaultColWidth="9.7109375" defaultRowHeight="11.25"/>
  <cols>
    <col min="1" max="1" width="11" style="124" customWidth="1"/>
    <col min="2" max="2" width="16.140625" style="124" bestFit="1" customWidth="1"/>
    <col min="3" max="3" width="16.140625" style="124" customWidth="1"/>
    <col min="4" max="4" width="10.85546875" style="125" customWidth="1"/>
    <col min="5" max="5" width="17.28515625" style="126" bestFit="1" customWidth="1"/>
    <col min="6" max="6" width="9.7109375" style="127" customWidth="1"/>
    <col min="7" max="10" width="9.7109375" style="126" customWidth="1"/>
    <col min="11" max="11" width="9.7109375" style="128" customWidth="1"/>
    <col min="12" max="12" width="9.7109375" style="129" customWidth="1"/>
    <col min="13" max="22" width="9.7109375" style="126" customWidth="1"/>
    <col min="23" max="23" width="2" style="126" bestFit="1" customWidth="1"/>
    <col min="24" max="24" width="5.85546875" style="126" bestFit="1" customWidth="1"/>
    <col min="25" max="25" width="6" style="126" bestFit="1" customWidth="1"/>
    <col min="26" max="16384" width="9.7109375" style="130"/>
  </cols>
  <sheetData>
    <row r="1" spans="1:25">
      <c r="A1" s="326"/>
      <c r="B1" s="326"/>
      <c r="C1" s="326"/>
      <c r="D1" s="327"/>
      <c r="E1" s="328"/>
      <c r="G1" s="328"/>
      <c r="H1" s="328"/>
      <c r="I1" s="328"/>
      <c r="J1" s="328"/>
      <c r="M1" s="328"/>
    </row>
    <row r="2" spans="1:25" ht="20.25">
      <c r="A2" s="358" t="s">
        <v>740</v>
      </c>
      <c r="B2" s="351"/>
      <c r="C2" s="351"/>
      <c r="D2" s="327"/>
      <c r="E2" s="328"/>
      <c r="G2" s="328"/>
      <c r="H2" s="328"/>
      <c r="I2" s="328"/>
      <c r="J2" s="328"/>
      <c r="M2" s="328"/>
    </row>
    <row r="3" spans="1:25">
      <c r="A3" s="326"/>
      <c r="B3" s="326"/>
      <c r="C3" s="326"/>
      <c r="D3" s="327"/>
      <c r="E3" s="328"/>
      <c r="G3" s="328"/>
      <c r="H3" s="328"/>
      <c r="I3" s="328"/>
      <c r="J3" s="328"/>
      <c r="M3" s="328"/>
    </row>
    <row r="4" spans="1:25">
      <c r="A4" s="326" t="s">
        <v>335</v>
      </c>
      <c r="B4" s="326" t="s">
        <v>336</v>
      </c>
      <c r="C4" s="326" t="s">
        <v>337</v>
      </c>
      <c r="D4" s="327" t="s">
        <v>338</v>
      </c>
      <c r="E4" s="328" t="s">
        <v>339</v>
      </c>
      <c r="F4" s="127" t="s">
        <v>340</v>
      </c>
      <c r="G4" s="328"/>
      <c r="H4" s="328"/>
      <c r="I4" s="328"/>
      <c r="J4" s="328"/>
      <c r="K4" s="128" t="s">
        <v>341</v>
      </c>
      <c r="L4" s="129" t="s">
        <v>342</v>
      </c>
      <c r="M4" s="328"/>
    </row>
    <row r="5" spans="1:25">
      <c r="A5" s="326"/>
      <c r="B5" s="326"/>
      <c r="C5" s="326"/>
      <c r="D5" s="327"/>
      <c r="E5" s="328"/>
      <c r="G5" s="328"/>
      <c r="H5" s="328"/>
      <c r="I5" s="328"/>
      <c r="J5" s="328"/>
      <c r="M5" s="328"/>
    </row>
    <row r="6" spans="1:25">
      <c r="A6" s="326"/>
      <c r="B6" s="326"/>
      <c r="C6" s="326"/>
      <c r="D6" s="327"/>
      <c r="E6" s="328"/>
      <c r="G6" s="328"/>
      <c r="H6" s="328"/>
      <c r="I6" s="328"/>
      <c r="J6" s="328"/>
      <c r="M6" s="328"/>
    </row>
    <row r="7" spans="1:25">
      <c r="A7" s="326" t="s">
        <v>343</v>
      </c>
      <c r="B7" s="326" t="s">
        <v>344</v>
      </c>
      <c r="C7" s="326" t="s">
        <v>345</v>
      </c>
      <c r="D7" s="327" t="s">
        <v>346</v>
      </c>
      <c r="E7" s="328">
        <v>2006</v>
      </c>
      <c r="F7" s="131">
        <v>12000</v>
      </c>
      <c r="G7" s="328"/>
      <c r="H7" s="328"/>
      <c r="I7" s="328"/>
      <c r="J7" s="328"/>
      <c r="K7" s="128">
        <v>11000</v>
      </c>
      <c r="L7" s="129">
        <v>13600</v>
      </c>
      <c r="M7" s="328"/>
      <c r="W7" s="126">
        <f>U7-V7</f>
        <v>0</v>
      </c>
      <c r="X7" s="126">
        <f>V7-K7</f>
        <v>-11000</v>
      </c>
      <c r="Y7" s="126">
        <f>W7/K7</f>
        <v>0</v>
      </c>
    </row>
    <row r="8" spans="1:25">
      <c r="A8" s="326" t="s">
        <v>347</v>
      </c>
      <c r="B8" s="326" t="s">
        <v>348</v>
      </c>
      <c r="C8" s="326" t="s">
        <v>349</v>
      </c>
      <c r="D8" s="327" t="s">
        <v>346</v>
      </c>
      <c r="E8" s="328">
        <v>1997</v>
      </c>
      <c r="F8" s="127">
        <v>8000</v>
      </c>
      <c r="G8" s="328"/>
      <c r="H8" s="328"/>
      <c r="I8" s="328"/>
      <c r="J8" s="328"/>
      <c r="K8" s="128">
        <v>7000</v>
      </c>
      <c r="L8" s="129">
        <v>7000</v>
      </c>
      <c r="M8" s="328"/>
      <c r="W8" s="126">
        <f>U8-V8</f>
        <v>0</v>
      </c>
      <c r="X8" s="126">
        <f>V8-K8</f>
        <v>-7000</v>
      </c>
      <c r="Y8" s="126">
        <f>W8/K8</f>
        <v>0</v>
      </c>
    </row>
    <row r="9" spans="1:25">
      <c r="A9" s="326" t="s">
        <v>350</v>
      </c>
      <c r="B9" s="326" t="s">
        <v>351</v>
      </c>
      <c r="C9" s="326" t="s">
        <v>352</v>
      </c>
      <c r="D9" s="327" t="s">
        <v>346</v>
      </c>
      <c r="E9" s="328">
        <v>1995</v>
      </c>
      <c r="F9" s="127">
        <v>6000</v>
      </c>
      <c r="G9" s="328"/>
      <c r="H9" s="328"/>
      <c r="I9" s="328"/>
      <c r="J9" s="328"/>
      <c r="K9" s="128">
        <v>4000</v>
      </c>
      <c r="L9" s="129">
        <v>4000</v>
      </c>
      <c r="M9" s="328"/>
      <c r="W9" s="126">
        <f>U9-V9</f>
        <v>0</v>
      </c>
      <c r="X9" s="126">
        <f>V9-K9</f>
        <v>-4000</v>
      </c>
      <c r="Y9" s="126">
        <f>W9/K9</f>
        <v>0</v>
      </c>
    </row>
    <row r="10" spans="1:25">
      <c r="A10" s="326" t="s">
        <v>353</v>
      </c>
      <c r="B10" s="326" t="s">
        <v>354</v>
      </c>
      <c r="C10" s="326" t="s">
        <v>355</v>
      </c>
      <c r="D10" s="327" t="s">
        <v>346</v>
      </c>
      <c r="E10" s="328">
        <v>1996</v>
      </c>
      <c r="F10" s="127">
        <v>5500</v>
      </c>
      <c r="G10" s="328"/>
      <c r="H10" s="328"/>
      <c r="I10" s="328"/>
      <c r="J10" s="328"/>
      <c r="K10" s="128">
        <v>4000</v>
      </c>
      <c r="L10" s="129">
        <v>4000</v>
      </c>
      <c r="M10" s="328"/>
      <c r="W10" s="126">
        <f>U10-V10</f>
        <v>0</v>
      </c>
      <c r="X10" s="126">
        <f>V10-K10</f>
        <v>-4000</v>
      </c>
      <c r="Y10" s="126">
        <f>W10/K10</f>
        <v>0</v>
      </c>
    </row>
    <row r="11" spans="1:25">
      <c r="A11" s="326" t="s">
        <v>356</v>
      </c>
      <c r="B11" s="326" t="s">
        <v>357</v>
      </c>
      <c r="C11" s="326" t="s">
        <v>358</v>
      </c>
      <c r="D11" s="327" t="s">
        <v>346</v>
      </c>
      <c r="E11" s="328">
        <v>2007</v>
      </c>
      <c r="F11" s="127">
        <v>12500</v>
      </c>
      <c r="G11" s="328"/>
      <c r="H11" s="328"/>
      <c r="I11" s="328"/>
      <c r="J11" s="328"/>
      <c r="K11" s="128">
        <v>12000</v>
      </c>
      <c r="L11" s="129">
        <v>13600</v>
      </c>
      <c r="M11" s="328"/>
    </row>
    <row r="12" spans="1:25">
      <c r="A12" s="326" t="s">
        <v>359</v>
      </c>
      <c r="B12" s="326" t="s">
        <v>360</v>
      </c>
      <c r="C12" s="326" t="s">
        <v>361</v>
      </c>
      <c r="D12" s="327" t="s">
        <v>346</v>
      </c>
      <c r="E12" s="328">
        <v>1995</v>
      </c>
      <c r="F12" s="127">
        <v>7000</v>
      </c>
      <c r="G12" s="328"/>
      <c r="H12" s="328"/>
      <c r="I12" s="328"/>
      <c r="J12" s="328"/>
      <c r="K12" s="128">
        <v>4000</v>
      </c>
      <c r="L12" s="129">
        <v>4000</v>
      </c>
      <c r="M12" s="328"/>
      <c r="W12" s="126">
        <f>U12-V12</f>
        <v>0</v>
      </c>
      <c r="X12" s="126">
        <f>V12-K12</f>
        <v>-4000</v>
      </c>
      <c r="Y12" s="126">
        <f>W12/K12</f>
        <v>0</v>
      </c>
    </row>
    <row r="13" spans="1:25">
      <c r="A13" s="326" t="s">
        <v>362</v>
      </c>
      <c r="B13" s="326" t="s">
        <v>363</v>
      </c>
      <c r="C13" s="326" t="s">
        <v>364</v>
      </c>
      <c r="D13" s="327" t="s">
        <v>365</v>
      </c>
      <c r="E13" s="328">
        <v>1990</v>
      </c>
      <c r="F13" s="127">
        <v>2000</v>
      </c>
      <c r="G13" s="328"/>
      <c r="H13" s="328"/>
      <c r="I13" s="328"/>
      <c r="J13" s="328"/>
      <c r="K13" s="128">
        <v>1500</v>
      </c>
      <c r="L13" s="129">
        <v>1000</v>
      </c>
      <c r="M13" s="328"/>
      <c r="W13" s="126">
        <f>U13-V13</f>
        <v>0</v>
      </c>
      <c r="X13" s="126">
        <f>V13-K13</f>
        <v>-1500</v>
      </c>
      <c r="Y13" s="126">
        <f>W13/K13</f>
        <v>0</v>
      </c>
    </row>
    <row r="14" spans="1:25">
      <c r="A14" s="326" t="s">
        <v>366</v>
      </c>
      <c r="B14" s="326" t="s">
        <v>367</v>
      </c>
      <c r="C14" s="326" t="s">
        <v>368</v>
      </c>
      <c r="D14" s="327" t="s">
        <v>369</v>
      </c>
      <c r="E14" s="328">
        <v>2003</v>
      </c>
      <c r="F14" s="127">
        <v>6000</v>
      </c>
      <c r="G14" s="328"/>
      <c r="H14" s="328"/>
      <c r="I14" s="328"/>
      <c r="J14" s="328"/>
      <c r="K14" s="128">
        <v>4000</v>
      </c>
      <c r="L14" s="129">
        <v>4000</v>
      </c>
      <c r="M14" s="328"/>
      <c r="W14" s="126">
        <f>U14-V14</f>
        <v>0</v>
      </c>
      <c r="X14" s="126">
        <f>V14-K14</f>
        <v>-4000</v>
      </c>
      <c r="Y14" s="126">
        <f>W14/K14</f>
        <v>0</v>
      </c>
    </row>
    <row r="15" spans="1:25">
      <c r="A15" s="326"/>
      <c r="B15" s="326"/>
      <c r="C15" s="326"/>
      <c r="D15" s="327"/>
      <c r="E15" s="328"/>
      <c r="G15" s="328"/>
      <c r="H15" s="328"/>
      <c r="I15" s="328"/>
      <c r="J15" s="328"/>
      <c r="M15" s="328"/>
      <c r="W15" s="126">
        <f>U15-V15</f>
        <v>0</v>
      </c>
      <c r="X15" s="126">
        <f>V15-K15</f>
        <v>0</v>
      </c>
      <c r="Y15" s="126" t="e">
        <f>W15/K15</f>
        <v>#DIV/0!</v>
      </c>
    </row>
    <row r="16" spans="1:25">
      <c r="A16" s="326" t="s">
        <v>370</v>
      </c>
      <c r="B16" s="326" t="s">
        <v>371</v>
      </c>
      <c r="C16" s="326" t="s">
        <v>372</v>
      </c>
      <c r="D16" s="327" t="s">
        <v>346</v>
      </c>
      <c r="E16" s="328">
        <v>2002</v>
      </c>
      <c r="F16" s="132">
        <v>5000</v>
      </c>
      <c r="G16" s="328"/>
      <c r="H16" s="328"/>
      <c r="I16" s="328"/>
      <c r="J16" s="328"/>
      <c r="K16" s="128">
        <v>4000</v>
      </c>
      <c r="L16" s="129">
        <v>4500</v>
      </c>
      <c r="M16" s="328"/>
    </row>
    <row r="17" spans="1:13">
      <c r="A17" s="326" t="s">
        <v>373</v>
      </c>
      <c r="B17" s="326" t="s">
        <v>374</v>
      </c>
      <c r="C17" s="326" t="s">
        <v>375</v>
      </c>
      <c r="D17" s="327" t="s">
        <v>346</v>
      </c>
      <c r="E17" s="328">
        <v>1995</v>
      </c>
      <c r="F17" s="132">
        <v>4000</v>
      </c>
      <c r="G17" s="328"/>
      <c r="H17" s="328"/>
      <c r="I17" s="328"/>
      <c r="J17" s="328"/>
      <c r="K17" s="128">
        <v>3000</v>
      </c>
      <c r="L17" s="129">
        <v>3000</v>
      </c>
      <c r="M17" s="328"/>
    </row>
    <row r="18" spans="1:13">
      <c r="A18" s="326" t="s">
        <v>376</v>
      </c>
      <c r="B18" s="326" t="s">
        <v>377</v>
      </c>
      <c r="C18" s="326" t="s">
        <v>378</v>
      </c>
      <c r="D18" s="327" t="s">
        <v>346</v>
      </c>
      <c r="E18" s="328">
        <v>2002</v>
      </c>
      <c r="F18" s="127">
        <v>5000</v>
      </c>
      <c r="G18" s="328"/>
      <c r="H18" s="328"/>
      <c r="I18" s="328"/>
      <c r="J18" s="328"/>
      <c r="K18" s="128">
        <v>4000</v>
      </c>
      <c r="L18" s="129">
        <v>4500</v>
      </c>
      <c r="M18" s="328"/>
    </row>
    <row r="19" spans="1:13">
      <c r="A19" s="326" t="s">
        <v>379</v>
      </c>
      <c r="B19" s="326" t="s">
        <v>380</v>
      </c>
      <c r="C19" s="326" t="s">
        <v>381</v>
      </c>
      <c r="D19" s="327" t="s">
        <v>346</v>
      </c>
      <c r="E19" s="328">
        <v>1999</v>
      </c>
      <c r="F19" s="127">
        <v>3000</v>
      </c>
      <c r="G19" s="328"/>
      <c r="H19" s="328"/>
      <c r="I19" s="328"/>
      <c r="J19" s="328"/>
      <c r="K19" s="128">
        <v>3000</v>
      </c>
      <c r="L19" s="129">
        <v>3000</v>
      </c>
      <c r="M19" s="328"/>
    </row>
    <row r="20" spans="1:13">
      <c r="A20" s="326"/>
      <c r="B20" s="326"/>
      <c r="C20" s="326"/>
      <c r="D20" s="327"/>
      <c r="E20" s="328"/>
      <c r="G20" s="328"/>
      <c r="H20" s="328"/>
      <c r="I20" s="328"/>
      <c r="J20" s="328"/>
      <c r="M20" s="328"/>
    </row>
    <row r="21" spans="1:13">
      <c r="A21" s="326"/>
      <c r="B21" s="326"/>
      <c r="C21" s="326"/>
      <c r="D21" s="327"/>
      <c r="E21" s="328"/>
      <c r="G21" s="328"/>
      <c r="H21" s="328"/>
      <c r="I21" s="328"/>
      <c r="J21" s="328"/>
      <c r="M21" s="328"/>
    </row>
    <row r="22" spans="1:13">
      <c r="A22" s="326" t="s">
        <v>382</v>
      </c>
      <c r="B22" s="326" t="s">
        <v>383</v>
      </c>
      <c r="C22" s="326" t="s">
        <v>384</v>
      </c>
      <c r="D22" s="327" t="s">
        <v>385</v>
      </c>
      <c r="E22" s="328" t="s">
        <v>741</v>
      </c>
      <c r="F22" s="127">
        <v>1500</v>
      </c>
      <c r="G22" s="328"/>
      <c r="H22" s="328"/>
      <c r="I22" s="328"/>
      <c r="J22" s="328"/>
      <c r="K22" s="128">
        <v>1000</v>
      </c>
      <c r="L22" s="129">
        <v>1000</v>
      </c>
      <c r="M22" s="328"/>
    </row>
    <row r="23" spans="1:13">
      <c r="A23" s="326" t="s">
        <v>386</v>
      </c>
      <c r="B23" s="326" t="s">
        <v>387</v>
      </c>
      <c r="C23" s="326" t="s">
        <v>388</v>
      </c>
      <c r="D23" s="327" t="s">
        <v>365</v>
      </c>
      <c r="E23" s="328" t="s">
        <v>742</v>
      </c>
      <c r="F23" s="127">
        <v>1500</v>
      </c>
      <c r="G23" s="328"/>
      <c r="H23" s="328"/>
      <c r="I23" s="328"/>
      <c r="J23" s="328"/>
      <c r="K23" s="128">
        <v>1000</v>
      </c>
      <c r="L23" s="129">
        <v>1000</v>
      </c>
      <c r="M23" s="328"/>
    </row>
    <row r="24" spans="1:13">
      <c r="A24" s="326" t="s">
        <v>389</v>
      </c>
      <c r="B24" s="326" t="s">
        <v>390</v>
      </c>
      <c r="C24" s="326" t="s">
        <v>391</v>
      </c>
      <c r="D24" s="327" t="s">
        <v>346</v>
      </c>
      <c r="E24" s="328" t="s">
        <v>741</v>
      </c>
      <c r="F24" s="127">
        <v>1500</v>
      </c>
      <c r="G24" s="328"/>
      <c r="H24" s="328"/>
      <c r="I24" s="328"/>
      <c r="J24" s="328"/>
      <c r="K24" s="128">
        <v>1000</v>
      </c>
      <c r="L24" s="129">
        <v>1000</v>
      </c>
      <c r="M24" s="328"/>
    </row>
    <row r="25" spans="1:13">
      <c r="A25" s="326" t="s">
        <v>392</v>
      </c>
      <c r="B25" s="326" t="s">
        <v>393</v>
      </c>
      <c r="C25" s="326" t="s">
        <v>394</v>
      </c>
      <c r="D25" s="327" t="s">
        <v>395</v>
      </c>
      <c r="E25" s="328" t="s">
        <v>743</v>
      </c>
      <c r="F25" s="127">
        <v>3500</v>
      </c>
      <c r="G25" s="328"/>
      <c r="H25" s="328"/>
      <c r="I25" s="328"/>
      <c r="J25" s="328"/>
      <c r="K25" s="128">
        <v>2500</v>
      </c>
      <c r="L25" s="129">
        <v>3500</v>
      </c>
      <c r="M25" s="328"/>
    </row>
    <row r="26" spans="1:13">
      <c r="A26" s="326" t="s">
        <v>396</v>
      </c>
      <c r="B26" s="326" t="s">
        <v>397</v>
      </c>
      <c r="C26" s="326" t="s">
        <v>398</v>
      </c>
      <c r="D26" s="327" t="s">
        <v>399</v>
      </c>
      <c r="E26" s="328" t="s">
        <v>744</v>
      </c>
      <c r="F26" s="127">
        <v>2000</v>
      </c>
      <c r="G26" s="328"/>
      <c r="H26" s="328"/>
      <c r="I26" s="328"/>
      <c r="J26" s="328"/>
      <c r="K26" s="128" t="s">
        <v>745</v>
      </c>
      <c r="L26" s="129" t="s">
        <v>746</v>
      </c>
      <c r="M26" s="328"/>
    </row>
    <row r="27" spans="1:13">
      <c r="A27" s="326"/>
      <c r="B27" s="326"/>
      <c r="C27" s="326"/>
      <c r="D27" s="327"/>
      <c r="E27" s="328"/>
      <c r="G27" s="328"/>
      <c r="H27" s="328"/>
      <c r="I27" s="328"/>
      <c r="J27" s="328"/>
      <c r="M27" s="328"/>
    </row>
    <row r="28" spans="1:13">
      <c r="A28" s="326" t="s">
        <v>400</v>
      </c>
      <c r="B28" s="326" t="s">
        <v>401</v>
      </c>
      <c r="C28" s="326" t="s">
        <v>402</v>
      </c>
      <c r="D28" s="327" t="s">
        <v>369</v>
      </c>
      <c r="E28" s="328" t="s">
        <v>747</v>
      </c>
      <c r="F28" s="127">
        <v>1500</v>
      </c>
      <c r="G28" s="328"/>
      <c r="H28" s="328"/>
      <c r="I28" s="328"/>
      <c r="J28" s="328"/>
      <c r="K28" s="128">
        <v>1000</v>
      </c>
      <c r="L28" s="129">
        <v>1000</v>
      </c>
      <c r="M28" s="328"/>
    </row>
    <row r="29" spans="1:13">
      <c r="A29" s="326" t="s">
        <v>403</v>
      </c>
      <c r="B29" s="326" t="s">
        <v>404</v>
      </c>
      <c r="C29" s="326" t="s">
        <v>405</v>
      </c>
      <c r="D29" s="327" t="s">
        <v>406</v>
      </c>
      <c r="E29" s="329" t="s">
        <v>407</v>
      </c>
      <c r="F29" s="127">
        <v>2000</v>
      </c>
      <c r="G29" s="328"/>
      <c r="H29" s="328"/>
      <c r="I29" s="328"/>
      <c r="J29" s="328"/>
      <c r="K29" s="128">
        <v>2000</v>
      </c>
      <c r="L29" s="129">
        <v>2000</v>
      </c>
      <c r="M29" s="328"/>
    </row>
    <row r="30" spans="1:13">
      <c r="A30" s="326" t="s">
        <v>400</v>
      </c>
      <c r="B30" s="326" t="s">
        <v>408</v>
      </c>
      <c r="C30" s="326" t="s">
        <v>409</v>
      </c>
      <c r="D30" s="327" t="s">
        <v>410</v>
      </c>
      <c r="E30" s="328" t="s">
        <v>748</v>
      </c>
      <c r="F30" s="127">
        <v>500</v>
      </c>
      <c r="G30" s="328"/>
      <c r="H30" s="328"/>
      <c r="I30" s="328"/>
      <c r="J30" s="328"/>
      <c r="K30" s="128">
        <v>600</v>
      </c>
      <c r="L30" s="129">
        <v>500</v>
      </c>
      <c r="M30" s="328"/>
    </row>
    <row r="31" spans="1:13">
      <c r="A31" s="326" t="s">
        <v>411</v>
      </c>
      <c r="B31" s="326" t="s">
        <v>412</v>
      </c>
      <c r="C31" s="326" t="s">
        <v>413</v>
      </c>
      <c r="D31" s="327" t="s">
        <v>414</v>
      </c>
      <c r="E31" s="328" t="s">
        <v>415</v>
      </c>
      <c r="F31" s="127">
        <v>500</v>
      </c>
      <c r="G31" s="328"/>
      <c r="H31" s="328"/>
      <c r="I31" s="328"/>
      <c r="J31" s="328"/>
      <c r="K31" s="128">
        <v>400</v>
      </c>
      <c r="L31" s="129">
        <v>500</v>
      </c>
      <c r="M31" s="328"/>
    </row>
    <row r="32" spans="1:13">
      <c r="A32" s="326"/>
      <c r="B32" s="326"/>
      <c r="C32" s="326"/>
      <c r="D32" s="327"/>
      <c r="E32" s="328"/>
      <c r="G32" s="328"/>
      <c r="H32" s="328"/>
      <c r="I32" s="328"/>
      <c r="J32" s="328"/>
      <c r="M32" s="328"/>
    </row>
    <row r="33" spans="1:13">
      <c r="A33" s="326"/>
      <c r="B33" s="326"/>
      <c r="C33" s="326"/>
      <c r="D33" s="327"/>
      <c r="E33" s="328"/>
      <c r="G33" s="328"/>
      <c r="H33" s="328"/>
      <c r="I33" s="328"/>
      <c r="J33" s="328"/>
      <c r="M33" s="328"/>
    </row>
    <row r="34" spans="1:13">
      <c r="A34" s="326" t="s">
        <v>416</v>
      </c>
      <c r="B34" s="326"/>
      <c r="C34" s="326"/>
      <c r="D34" s="327"/>
      <c r="E34" s="328"/>
      <c r="G34" s="328"/>
      <c r="H34" s="328"/>
      <c r="I34" s="328"/>
      <c r="J34" s="328"/>
      <c r="M34" s="328"/>
    </row>
    <row r="35" spans="1:13">
      <c r="A35" s="326" t="s">
        <v>121</v>
      </c>
      <c r="B35" s="326" t="s">
        <v>417</v>
      </c>
      <c r="C35" s="326"/>
      <c r="D35" s="327" t="s">
        <v>418</v>
      </c>
      <c r="E35" s="328"/>
      <c r="F35" s="127">
        <v>1500</v>
      </c>
      <c r="G35" s="328" t="s">
        <v>419</v>
      </c>
      <c r="H35" s="328"/>
      <c r="I35" s="328"/>
      <c r="J35" s="328"/>
      <c r="K35" s="128">
        <v>1800</v>
      </c>
      <c r="L35" s="129">
        <v>1800</v>
      </c>
      <c r="M35" s="328"/>
    </row>
    <row r="36" spans="1:13">
      <c r="A36" s="326" t="s">
        <v>420</v>
      </c>
      <c r="B36" s="326" t="s">
        <v>421</v>
      </c>
      <c r="C36" s="326"/>
      <c r="D36" s="327" t="s">
        <v>418</v>
      </c>
      <c r="E36" s="328"/>
      <c r="F36" s="127">
        <v>1250</v>
      </c>
      <c r="G36" s="328" t="s">
        <v>419</v>
      </c>
      <c r="H36" s="328"/>
      <c r="I36" s="328"/>
      <c r="J36" s="328"/>
      <c r="K36" s="128">
        <v>1000</v>
      </c>
      <c r="L36" s="129">
        <v>1000</v>
      </c>
      <c r="M36" s="328"/>
    </row>
    <row r="37" spans="1:13">
      <c r="A37" s="326" t="s">
        <v>422</v>
      </c>
      <c r="B37" s="326" t="s">
        <v>421</v>
      </c>
      <c r="C37" s="326"/>
      <c r="D37" s="327" t="s">
        <v>418</v>
      </c>
      <c r="E37" s="328"/>
      <c r="F37" s="127">
        <v>1000</v>
      </c>
      <c r="G37" s="328" t="s">
        <v>419</v>
      </c>
      <c r="H37" s="328"/>
      <c r="I37" s="328"/>
      <c r="J37" s="328"/>
      <c r="K37" s="128">
        <v>500</v>
      </c>
      <c r="L37" s="129">
        <v>500</v>
      </c>
      <c r="M37" s="328"/>
    </row>
    <row r="38" spans="1:13">
      <c r="A38" s="326" t="s">
        <v>423</v>
      </c>
      <c r="B38" s="326" t="s">
        <v>421</v>
      </c>
      <c r="C38" s="326"/>
      <c r="D38" s="327" t="s">
        <v>418</v>
      </c>
      <c r="E38" s="328"/>
      <c r="F38" s="127">
        <v>1000</v>
      </c>
      <c r="G38" s="328" t="s">
        <v>419</v>
      </c>
      <c r="H38" s="328"/>
      <c r="I38" s="328"/>
      <c r="J38" s="328"/>
      <c r="K38" s="128">
        <v>500</v>
      </c>
      <c r="L38" s="129">
        <v>500</v>
      </c>
      <c r="M38" s="328"/>
    </row>
    <row r="39" spans="1:13">
      <c r="A39" s="326" t="s">
        <v>424</v>
      </c>
      <c r="B39" s="326" t="s">
        <v>425</v>
      </c>
      <c r="C39" s="326"/>
      <c r="D39" s="327" t="s">
        <v>418</v>
      </c>
      <c r="E39" s="330"/>
      <c r="F39" s="131">
        <v>1000</v>
      </c>
      <c r="G39" s="328" t="s">
        <v>419</v>
      </c>
      <c r="H39" s="328"/>
      <c r="I39" s="328"/>
      <c r="J39" s="328"/>
      <c r="K39" s="128">
        <v>500</v>
      </c>
      <c r="L39" s="129">
        <v>500</v>
      </c>
      <c r="M39" s="328"/>
    </row>
    <row r="40" spans="1:13">
      <c r="A40" s="326" t="s">
        <v>426</v>
      </c>
      <c r="B40" s="326" t="s">
        <v>427</v>
      </c>
      <c r="C40" s="326"/>
      <c r="D40" s="327" t="s">
        <v>418</v>
      </c>
      <c r="E40" s="328"/>
      <c r="F40" s="127">
        <v>1750</v>
      </c>
      <c r="G40" s="328" t="s">
        <v>419</v>
      </c>
      <c r="H40" s="328"/>
      <c r="I40" s="328"/>
      <c r="J40" s="328"/>
      <c r="K40" s="128">
        <v>2000</v>
      </c>
      <c r="L40" s="129">
        <v>2000</v>
      </c>
      <c r="M40" s="328"/>
    </row>
    <row r="41" spans="1:13">
      <c r="A41" s="326" t="s">
        <v>428</v>
      </c>
      <c r="B41" s="326" t="s">
        <v>421</v>
      </c>
      <c r="C41" s="326"/>
      <c r="D41" s="327" t="s">
        <v>418</v>
      </c>
      <c r="E41" s="328"/>
      <c r="F41" s="127">
        <v>1500</v>
      </c>
      <c r="G41" s="328" t="s">
        <v>419</v>
      </c>
      <c r="H41" s="328"/>
      <c r="I41" s="328"/>
      <c r="J41" s="328"/>
      <c r="K41" s="128">
        <v>1000</v>
      </c>
      <c r="L41" s="129">
        <v>1000</v>
      </c>
      <c r="M41" s="328"/>
    </row>
    <row r="42" spans="1:13">
      <c r="A42" s="326" t="s">
        <v>429</v>
      </c>
      <c r="B42" s="326" t="s">
        <v>421</v>
      </c>
      <c r="C42" s="326"/>
      <c r="D42" s="327" t="s">
        <v>418</v>
      </c>
      <c r="E42" s="328"/>
      <c r="F42" s="127">
        <v>1250</v>
      </c>
      <c r="G42" s="328" t="s">
        <v>419</v>
      </c>
      <c r="H42" s="328"/>
      <c r="I42" s="328"/>
      <c r="J42" s="328"/>
      <c r="K42" s="128">
        <v>500</v>
      </c>
      <c r="L42" s="129">
        <v>500</v>
      </c>
      <c r="M42" s="328"/>
    </row>
    <row r="43" spans="1:13">
      <c r="A43" s="326"/>
      <c r="B43" s="326"/>
      <c r="C43" s="326"/>
      <c r="D43" s="327"/>
      <c r="E43" s="328"/>
      <c r="G43" s="328"/>
      <c r="H43" s="328"/>
      <c r="I43" s="328"/>
      <c r="J43" s="328"/>
      <c r="M43" s="328"/>
    </row>
    <row r="44" spans="1:13">
      <c r="A44" s="326"/>
      <c r="B44" s="326"/>
      <c r="C44" s="326"/>
      <c r="D44" s="327"/>
      <c r="E44" s="328"/>
      <c r="G44" s="328"/>
      <c r="H44" s="328"/>
      <c r="I44" s="328"/>
      <c r="J44" s="328"/>
      <c r="M44" s="328"/>
    </row>
    <row r="45" spans="1:13">
      <c r="A45" s="326"/>
      <c r="B45" s="326"/>
      <c r="C45" s="326"/>
      <c r="D45" s="327"/>
      <c r="E45" s="328"/>
      <c r="G45" s="328"/>
      <c r="H45" s="328"/>
      <c r="I45" s="328"/>
      <c r="J45" s="328"/>
      <c r="M45" s="328"/>
    </row>
    <row r="46" spans="1:13">
      <c r="A46" s="326" t="s">
        <v>430</v>
      </c>
      <c r="B46" s="326" t="s">
        <v>431</v>
      </c>
      <c r="C46" s="326"/>
      <c r="D46" s="327" t="s">
        <v>418</v>
      </c>
      <c r="E46" s="328"/>
      <c r="F46" s="127">
        <v>1250</v>
      </c>
      <c r="G46" s="328" t="s">
        <v>419</v>
      </c>
      <c r="H46" s="328"/>
      <c r="I46" s="328"/>
      <c r="J46" s="328"/>
      <c r="K46" s="128">
        <v>1000</v>
      </c>
      <c r="L46" s="129">
        <v>1000</v>
      </c>
      <c r="M46" s="328"/>
    </row>
    <row r="47" spans="1:13">
      <c r="A47" s="326"/>
      <c r="B47" s="326"/>
      <c r="C47" s="326"/>
      <c r="D47" s="327"/>
      <c r="E47" s="328"/>
      <c r="G47" s="328"/>
      <c r="H47" s="328"/>
      <c r="I47" s="328"/>
      <c r="J47" s="328"/>
      <c r="M47" s="328"/>
    </row>
    <row r="48" spans="1:13">
      <c r="A48" s="326"/>
      <c r="B48" s="326"/>
      <c r="C48" s="326"/>
      <c r="D48" s="327"/>
      <c r="E48" s="328"/>
      <c r="G48" s="328"/>
      <c r="H48" s="328"/>
      <c r="I48" s="328"/>
      <c r="J48" s="328"/>
      <c r="M48" s="328"/>
    </row>
    <row r="49" spans="1:13">
      <c r="A49" s="326" t="s">
        <v>432</v>
      </c>
      <c r="B49" s="326"/>
      <c r="C49" s="326"/>
      <c r="D49" s="327" t="s">
        <v>433</v>
      </c>
      <c r="E49" s="328"/>
      <c r="F49" s="127">
        <v>3700</v>
      </c>
      <c r="G49" s="328"/>
      <c r="H49" s="328"/>
      <c r="I49" s="328"/>
      <c r="J49" s="328"/>
      <c r="K49" s="128" t="s">
        <v>434</v>
      </c>
      <c r="L49" s="129">
        <v>3500</v>
      </c>
      <c r="M49" s="328"/>
    </row>
    <row r="50" spans="1:13">
      <c r="A50" s="326" t="s">
        <v>749</v>
      </c>
      <c r="B50" s="326"/>
      <c r="C50" s="326"/>
      <c r="D50" s="327"/>
      <c r="E50" s="328"/>
      <c r="F50" s="127">
        <v>235</v>
      </c>
      <c r="G50" s="328" t="s">
        <v>419</v>
      </c>
      <c r="H50" s="328"/>
      <c r="I50" s="328"/>
      <c r="J50" s="328"/>
      <c r="L50" s="127">
        <v>235</v>
      </c>
      <c r="M50" s="328"/>
    </row>
    <row r="51" spans="1:13">
      <c r="A51" s="326" t="s">
        <v>435</v>
      </c>
      <c r="B51" s="326" t="s">
        <v>436</v>
      </c>
      <c r="C51" s="326"/>
      <c r="D51" s="327" t="s">
        <v>437</v>
      </c>
      <c r="E51" s="328"/>
      <c r="F51" s="127">
        <v>1300</v>
      </c>
      <c r="G51" s="328" t="s">
        <v>419</v>
      </c>
      <c r="H51" s="328"/>
      <c r="I51" s="328"/>
      <c r="J51" s="328"/>
      <c r="K51" s="128" t="s">
        <v>438</v>
      </c>
      <c r="L51" s="129" t="s">
        <v>439</v>
      </c>
      <c r="M51" s="328"/>
    </row>
    <row r="52" spans="1:13">
      <c r="A52" s="326" t="s">
        <v>440</v>
      </c>
      <c r="B52" s="326"/>
      <c r="C52" s="326"/>
      <c r="D52" s="327" t="s">
        <v>750</v>
      </c>
      <c r="E52" s="328"/>
      <c r="F52" s="127">
        <v>110</v>
      </c>
      <c r="G52" s="328" t="s">
        <v>419</v>
      </c>
      <c r="H52" s="328"/>
      <c r="I52" s="328"/>
      <c r="J52" s="328"/>
      <c r="M52" s="328"/>
    </row>
    <row r="53" spans="1:13">
      <c r="A53" s="331">
        <v>8</v>
      </c>
      <c r="B53" s="331" t="s">
        <v>441</v>
      </c>
      <c r="C53" s="326"/>
      <c r="D53" s="327" t="s">
        <v>442</v>
      </c>
      <c r="E53" s="331" t="s">
        <v>751</v>
      </c>
      <c r="F53" s="132">
        <v>6000</v>
      </c>
      <c r="G53" s="328" t="s">
        <v>419</v>
      </c>
      <c r="H53" s="328"/>
      <c r="I53" s="328"/>
      <c r="J53" s="328"/>
      <c r="K53" s="128">
        <v>4500</v>
      </c>
      <c r="L53" s="129">
        <v>4500</v>
      </c>
      <c r="M53" s="328"/>
    </row>
    <row r="54" spans="1:13">
      <c r="A54" s="331">
        <v>1</v>
      </c>
      <c r="B54" s="331" t="s">
        <v>443</v>
      </c>
      <c r="C54" s="326"/>
      <c r="D54" s="327" t="s">
        <v>444</v>
      </c>
      <c r="E54" s="331" t="s">
        <v>445</v>
      </c>
      <c r="F54" s="132">
        <v>1000</v>
      </c>
      <c r="G54" s="328" t="s">
        <v>419</v>
      </c>
      <c r="H54" s="328"/>
      <c r="I54" s="328"/>
      <c r="J54" s="328"/>
      <c r="K54" s="128">
        <v>1000</v>
      </c>
      <c r="L54" s="129">
        <v>1000</v>
      </c>
      <c r="M54" s="328"/>
    </row>
    <row r="55" spans="1:13">
      <c r="A55" s="331">
        <v>2</v>
      </c>
      <c r="B55" s="331" t="s">
        <v>446</v>
      </c>
      <c r="C55" s="326"/>
      <c r="D55" s="327"/>
      <c r="E55" s="331"/>
      <c r="F55" s="132">
        <v>400</v>
      </c>
      <c r="G55" s="328" t="s">
        <v>419</v>
      </c>
      <c r="H55" s="328"/>
      <c r="I55" s="328"/>
      <c r="J55" s="328"/>
      <c r="K55" s="128">
        <v>300</v>
      </c>
      <c r="L55" s="129">
        <v>300</v>
      </c>
      <c r="M55" s="328"/>
    </row>
    <row r="56" spans="1:13" ht="22.5">
      <c r="A56" s="331">
        <v>6</v>
      </c>
      <c r="B56" s="331" t="s">
        <v>447</v>
      </c>
      <c r="C56" s="326"/>
      <c r="D56" s="327"/>
      <c r="E56" s="331"/>
      <c r="F56" s="132">
        <v>400</v>
      </c>
      <c r="G56" s="328" t="s">
        <v>419</v>
      </c>
      <c r="H56" s="328"/>
      <c r="I56" s="328"/>
      <c r="J56" s="328"/>
      <c r="K56" s="128">
        <v>300</v>
      </c>
      <c r="L56" s="129">
        <v>400</v>
      </c>
      <c r="M56" s="328"/>
    </row>
    <row r="57" spans="1:13">
      <c r="A57" s="331" t="s">
        <v>448</v>
      </c>
      <c r="B57" s="331" t="s">
        <v>449</v>
      </c>
      <c r="C57" s="326"/>
      <c r="D57" s="327"/>
      <c r="E57" s="331"/>
      <c r="F57" s="132">
        <v>375</v>
      </c>
      <c r="G57" s="328" t="s">
        <v>419</v>
      </c>
      <c r="H57" s="328"/>
      <c r="I57" s="328"/>
      <c r="J57" s="328"/>
      <c r="K57" s="128">
        <v>375</v>
      </c>
      <c r="L57" s="129">
        <v>375</v>
      </c>
      <c r="M57" s="328"/>
    </row>
    <row r="58" spans="1:13">
      <c r="A58" s="331" t="s">
        <v>450</v>
      </c>
      <c r="B58" s="331" t="s">
        <v>451</v>
      </c>
      <c r="C58" s="326"/>
      <c r="D58" s="327"/>
      <c r="E58" s="331"/>
      <c r="F58" s="132">
        <v>200</v>
      </c>
      <c r="G58" s="328" t="s">
        <v>419</v>
      </c>
      <c r="H58" s="328"/>
      <c r="I58" s="328"/>
      <c r="J58" s="328"/>
      <c r="K58" s="128">
        <v>200</v>
      </c>
      <c r="L58" s="129">
        <v>200</v>
      </c>
      <c r="M58" s="328"/>
    </row>
    <row r="59" spans="1:13">
      <c r="A59" s="331">
        <v>3</v>
      </c>
      <c r="B59" s="331" t="s">
        <v>452</v>
      </c>
      <c r="C59" s="326"/>
      <c r="D59" s="327"/>
      <c r="E59" s="331"/>
      <c r="F59" s="132">
        <v>300</v>
      </c>
      <c r="G59" s="328" t="s">
        <v>419</v>
      </c>
      <c r="H59" s="328"/>
      <c r="I59" s="328"/>
      <c r="J59" s="328"/>
      <c r="K59" s="128">
        <v>150</v>
      </c>
      <c r="L59" s="129">
        <v>300</v>
      </c>
      <c r="M59" s="328"/>
    </row>
    <row r="60" spans="1:13">
      <c r="A60" s="331">
        <v>5</v>
      </c>
      <c r="B60" s="331" t="s">
        <v>453</v>
      </c>
      <c r="C60" s="326"/>
      <c r="D60" s="327"/>
      <c r="E60" s="331"/>
      <c r="F60" s="132">
        <v>200</v>
      </c>
      <c r="G60" s="328" t="s">
        <v>419</v>
      </c>
      <c r="H60" s="328"/>
      <c r="I60" s="328"/>
      <c r="J60" s="328"/>
      <c r="K60" s="128">
        <v>200</v>
      </c>
      <c r="L60" s="129">
        <v>200</v>
      </c>
      <c r="M60" s="328"/>
    </row>
    <row r="61" spans="1:13" ht="22.5">
      <c r="A61" s="331">
        <v>1</v>
      </c>
      <c r="B61" s="331" t="s">
        <v>454</v>
      </c>
      <c r="C61" s="326"/>
      <c r="D61" s="327"/>
      <c r="E61" s="331" t="s">
        <v>455</v>
      </c>
      <c r="F61" s="132">
        <v>150</v>
      </c>
      <c r="G61" s="328" t="s">
        <v>419</v>
      </c>
      <c r="H61" s="328"/>
      <c r="I61" s="328"/>
      <c r="J61" s="328"/>
      <c r="K61" s="128">
        <v>150</v>
      </c>
      <c r="L61" s="129">
        <v>150</v>
      </c>
      <c r="M61" s="328"/>
    </row>
    <row r="62" spans="1:13">
      <c r="A62" s="331">
        <v>5</v>
      </c>
      <c r="B62" s="331" t="s">
        <v>456</v>
      </c>
      <c r="C62" s="326"/>
      <c r="D62" s="327"/>
      <c r="E62" s="331"/>
      <c r="F62" s="132">
        <v>400</v>
      </c>
      <c r="G62" s="328" t="s">
        <v>419</v>
      </c>
      <c r="H62" s="328"/>
      <c r="I62" s="328"/>
      <c r="J62" s="328"/>
      <c r="K62" s="128">
        <v>360</v>
      </c>
      <c r="L62" s="129">
        <v>360</v>
      </c>
      <c r="M62" s="328"/>
    </row>
    <row r="63" spans="1:13">
      <c r="A63" s="331">
        <v>2</v>
      </c>
      <c r="B63" s="331" t="s">
        <v>457</v>
      </c>
      <c r="C63" s="326"/>
      <c r="D63" s="327"/>
      <c r="E63" s="331"/>
      <c r="F63" s="132">
        <v>400</v>
      </c>
      <c r="G63" s="328" t="s">
        <v>419</v>
      </c>
      <c r="H63" s="328"/>
      <c r="I63" s="328"/>
      <c r="J63" s="328"/>
      <c r="K63" s="128">
        <v>250</v>
      </c>
      <c r="L63" s="129">
        <v>250</v>
      </c>
      <c r="M63" s="328"/>
    </row>
    <row r="64" spans="1:13">
      <c r="A64" s="330"/>
      <c r="B64" s="330"/>
      <c r="C64" s="330"/>
      <c r="D64" s="330"/>
      <c r="E64" s="330"/>
      <c r="F64" s="133"/>
      <c r="G64" s="328"/>
      <c r="H64" s="328"/>
      <c r="I64" s="328"/>
      <c r="J64" s="328"/>
      <c r="M64" s="328"/>
    </row>
    <row r="65" spans="1:13">
      <c r="A65" s="134" t="s">
        <v>458</v>
      </c>
      <c r="B65" s="134"/>
      <c r="C65" s="134"/>
      <c r="D65" s="135"/>
      <c r="E65" s="136"/>
      <c r="F65" s="137">
        <f>SUM(F7:F64)</f>
        <v>117170</v>
      </c>
      <c r="G65" s="328"/>
      <c r="H65" s="328"/>
      <c r="I65" s="328"/>
      <c r="J65" s="328"/>
      <c r="M65" s="328"/>
    </row>
    <row r="66" spans="1:13" ht="12.75">
      <c r="A66"/>
      <c r="B66"/>
      <c r="C66"/>
      <c r="D66"/>
      <c r="E66"/>
      <c r="F66"/>
      <c r="G66"/>
      <c r="H66"/>
      <c r="I66"/>
      <c r="J66"/>
      <c r="K66"/>
      <c r="L66"/>
      <c r="M66"/>
    </row>
    <row r="67" spans="1:13" ht="12.75">
      <c r="A67"/>
      <c r="B67"/>
      <c r="C67"/>
      <c r="D67"/>
      <c r="E67"/>
      <c r="F67"/>
      <c r="G67"/>
      <c r="H67"/>
      <c r="I67"/>
      <c r="J67"/>
      <c r="K67"/>
      <c r="L67"/>
      <c r="M67"/>
    </row>
    <row r="68" spans="1:13" ht="12.75">
      <c r="A68"/>
      <c r="B68"/>
      <c r="C68"/>
      <c r="D68"/>
      <c r="E68"/>
      <c r="F68"/>
      <c r="G68"/>
      <c r="H68"/>
      <c r="I68"/>
      <c r="J68"/>
      <c r="K68"/>
      <c r="L68"/>
      <c r="M68"/>
    </row>
    <row r="69" spans="1:13" ht="12.75">
      <c r="A69"/>
      <c r="B69"/>
      <c r="C69"/>
      <c r="D69"/>
      <c r="E69"/>
      <c r="F69"/>
      <c r="G69"/>
      <c r="H69"/>
      <c r="I69"/>
      <c r="J69"/>
      <c r="K69"/>
      <c r="L69"/>
      <c r="M69"/>
    </row>
    <row r="70" spans="1:13" ht="12.75">
      <c r="A70"/>
      <c r="B70"/>
      <c r="C70"/>
      <c r="D70"/>
      <c r="E70"/>
      <c r="F70"/>
      <c r="G70"/>
      <c r="H70"/>
      <c r="I70"/>
      <c r="J70"/>
      <c r="K70"/>
      <c r="L70"/>
      <c r="M70"/>
    </row>
    <row r="71" spans="1:13" ht="12.75">
      <c r="A71"/>
      <c r="B71"/>
      <c r="C71"/>
      <c r="D71"/>
      <c r="E71"/>
      <c r="F71"/>
      <c r="G71"/>
      <c r="H71"/>
      <c r="I71"/>
      <c r="J71"/>
      <c r="K71"/>
      <c r="L71"/>
      <c r="M71"/>
    </row>
    <row r="72" spans="1:13" ht="12.75">
      <c r="A72"/>
      <c r="B72"/>
      <c r="C72"/>
      <c r="D72"/>
      <c r="E72"/>
      <c r="F72"/>
      <c r="G72"/>
      <c r="H72"/>
      <c r="I72"/>
      <c r="J72"/>
      <c r="K72"/>
      <c r="L72"/>
      <c r="M72"/>
    </row>
    <row r="73" spans="1:13" ht="12.75">
      <c r="A73"/>
      <c r="B73"/>
      <c r="C73"/>
      <c r="D73"/>
      <c r="E73"/>
      <c r="F73"/>
      <c r="G73"/>
      <c r="H73"/>
      <c r="I73"/>
      <c r="J73"/>
      <c r="K73"/>
      <c r="L73"/>
      <c r="M73"/>
    </row>
    <row r="74" spans="1:13" ht="12.75">
      <c r="A74"/>
      <c r="B74"/>
      <c r="C74"/>
      <c r="D74"/>
      <c r="E74"/>
      <c r="F74"/>
      <c r="G74"/>
      <c r="H74"/>
      <c r="I74"/>
      <c r="J74"/>
      <c r="K74"/>
      <c r="L74"/>
      <c r="M74"/>
    </row>
    <row r="75" spans="1:13" ht="12.75">
      <c r="A75"/>
      <c r="B75"/>
      <c r="C75"/>
      <c r="D75"/>
      <c r="E75"/>
      <c r="F75"/>
      <c r="G75"/>
      <c r="H75"/>
      <c r="I75"/>
      <c r="J75"/>
      <c r="K75"/>
      <c r="L75"/>
      <c r="M75"/>
    </row>
    <row r="76" spans="1:13" ht="12.75">
      <c r="A76"/>
      <c r="B76"/>
      <c r="C76"/>
      <c r="D76"/>
      <c r="E76"/>
      <c r="F76"/>
      <c r="G76"/>
      <c r="H76"/>
      <c r="I76"/>
      <c r="J76"/>
      <c r="K76"/>
      <c r="L76"/>
      <c r="M76"/>
    </row>
    <row r="77" spans="1:13" ht="12.75">
      <c r="A77"/>
      <c r="B77"/>
      <c r="C77"/>
      <c r="D77"/>
      <c r="E77"/>
      <c r="F77"/>
      <c r="G77"/>
      <c r="H77"/>
      <c r="I77"/>
      <c r="J77"/>
      <c r="K77"/>
      <c r="L77"/>
      <c r="M77"/>
    </row>
  </sheetData>
  <mergeCells count="1">
    <mergeCell ref="A2:C2"/>
  </mergeCells>
  <phoneticPr fontId="0" type="noConversion"/>
  <printOptions gridLines="1"/>
  <pageMargins left="0.2" right="0.23" top="0.47" bottom="0.44" header="0.17" footer="0.17"/>
  <pageSetup paperSize="9" orientation="landscape" r:id="rId1"/>
  <headerFooter alignWithMargins="0">
    <oddHeader>&amp;LChrist's College Boat Club&amp;CEquipment Measurements&amp;R&amp;D</oddHeader>
  </headerFooter>
</worksheet>
</file>

<file path=xl/worksheets/sheet2.xml><?xml version="1.0" encoding="utf-8"?>
<worksheet xmlns="http://schemas.openxmlformats.org/spreadsheetml/2006/main" xmlns:r="http://schemas.openxmlformats.org/officeDocument/2006/relationships">
  <sheetPr enableFormatConditionsCalculation="0">
    <tabColor indexed="18"/>
  </sheetPr>
  <dimension ref="A1:R335"/>
  <sheetViews>
    <sheetView workbookViewId="0">
      <pane ySplit="11" topLeftCell="A300" activePane="bottomLeft" state="frozen"/>
      <selection pane="bottomLeft" activeCell="F321" sqref="F321"/>
    </sheetView>
  </sheetViews>
  <sheetFormatPr defaultRowHeight="12.75"/>
  <cols>
    <col min="1" max="1" width="19" bestFit="1" customWidth="1"/>
    <col min="2" max="2" width="10.140625" bestFit="1" customWidth="1"/>
    <col min="3" max="4" width="11" bestFit="1" customWidth="1"/>
    <col min="5" max="5" width="10.7109375" customWidth="1"/>
    <col min="8" max="8" width="9.85546875" bestFit="1" customWidth="1"/>
    <col min="9" max="9" width="9.42578125" customWidth="1"/>
    <col min="10" max="10" width="9.28515625" customWidth="1"/>
    <col min="11" max="15" width="9.42578125" customWidth="1"/>
  </cols>
  <sheetData>
    <row r="1" spans="1:18">
      <c r="B1" s="4" t="s">
        <v>0</v>
      </c>
      <c r="C1" s="4" t="s">
        <v>7</v>
      </c>
      <c r="D1" s="4" t="s">
        <v>8</v>
      </c>
      <c r="E1" s="4" t="s">
        <v>14</v>
      </c>
      <c r="F1" s="4" t="s">
        <v>9</v>
      </c>
      <c r="G1" s="4" t="s">
        <v>15</v>
      </c>
      <c r="H1" s="4" t="s">
        <v>10</v>
      </c>
      <c r="I1" s="168" t="s">
        <v>567</v>
      </c>
      <c r="J1" s="168" t="s">
        <v>568</v>
      </c>
      <c r="K1" s="168" t="s">
        <v>569</v>
      </c>
    </row>
    <row r="2" spans="1:18">
      <c r="A2" s="8" t="s">
        <v>13</v>
      </c>
      <c r="B2" s="12">
        <f>SUM(I12:I335)</f>
        <v>1956.5</v>
      </c>
      <c r="C2" s="12">
        <f t="shared" ref="C2:H2" si="0">SUM(J12:J335)</f>
        <v>638</v>
      </c>
      <c r="D2" s="12">
        <f t="shared" si="0"/>
        <v>724.5</v>
      </c>
      <c r="E2" s="12">
        <f t="shared" si="0"/>
        <v>0</v>
      </c>
      <c r="F2" s="12">
        <f t="shared" si="0"/>
        <v>51.499999999999964</v>
      </c>
      <c r="G2" s="12">
        <f t="shared" si="0"/>
        <v>0</v>
      </c>
      <c r="H2" s="12">
        <f t="shared" si="0"/>
        <v>0</v>
      </c>
      <c r="I2" s="169">
        <f>SUM(P12:P335)</f>
        <v>96.000000000000085</v>
      </c>
      <c r="J2" s="169">
        <f>SUM(Q12:Q335)</f>
        <v>64.000000000000071</v>
      </c>
      <c r="K2" s="170">
        <f>SUM(R12:R335)</f>
        <v>13.999999999999988</v>
      </c>
      <c r="M2" s="13">
        <f>SUM(B2:J2)</f>
        <v>3530.5</v>
      </c>
    </row>
    <row r="3" spans="1:18">
      <c r="A3" s="8" t="s">
        <v>88</v>
      </c>
      <c r="B3" s="12">
        <v>0</v>
      </c>
      <c r="C3" s="12">
        <v>288</v>
      </c>
      <c r="D3" s="12">
        <v>856</v>
      </c>
      <c r="E3" s="12">
        <v>0</v>
      </c>
      <c r="F3" s="12">
        <v>0</v>
      </c>
      <c r="G3" s="12">
        <v>0</v>
      </c>
      <c r="H3" s="103">
        <v>0</v>
      </c>
      <c r="I3" s="103">
        <v>0</v>
      </c>
      <c r="J3" s="103">
        <v>0</v>
      </c>
      <c r="K3" s="171">
        <v>0</v>
      </c>
      <c r="M3" s="13">
        <f>SUM(B3:K3)</f>
        <v>1144</v>
      </c>
    </row>
    <row r="4" spans="1:18">
      <c r="A4" s="8" t="s">
        <v>16</v>
      </c>
      <c r="B4" s="13">
        <f>555+1155</f>
        <v>1710</v>
      </c>
      <c r="C4" s="12">
        <f>528.5+165</f>
        <v>693.5</v>
      </c>
      <c r="D4" s="12">
        <f>856+724.5</f>
        <v>1580.5</v>
      </c>
      <c r="E4" s="12"/>
      <c r="F4" s="12"/>
      <c r="G4" s="12"/>
      <c r="H4" s="103"/>
      <c r="I4" s="7"/>
      <c r="J4" s="7"/>
      <c r="K4" s="24"/>
      <c r="M4" s="12"/>
    </row>
    <row r="5" spans="1:18">
      <c r="A5" s="8" t="s">
        <v>459</v>
      </c>
      <c r="B5" s="9">
        <v>39926</v>
      </c>
      <c r="C5" s="1">
        <v>39895</v>
      </c>
      <c r="D5" s="1">
        <v>39783</v>
      </c>
      <c r="E5" s="12"/>
      <c r="F5" s="12"/>
      <c r="G5" s="12"/>
      <c r="H5" s="103"/>
      <c r="I5" s="7"/>
      <c r="J5" s="7"/>
      <c r="K5" s="24"/>
    </row>
    <row r="6" spans="1:18">
      <c r="A6" s="8" t="s">
        <v>17</v>
      </c>
      <c r="B6" s="9">
        <v>39927</v>
      </c>
      <c r="C6" s="1">
        <v>39927</v>
      </c>
      <c r="D6" s="1">
        <v>39797</v>
      </c>
      <c r="E6" s="1"/>
      <c r="F6" s="1"/>
      <c r="G6" s="1"/>
      <c r="H6" s="148"/>
      <c r="I6" s="7"/>
      <c r="J6" s="7"/>
      <c r="K6" s="24"/>
    </row>
    <row r="7" spans="1:18">
      <c r="A7" s="8" t="s">
        <v>12</v>
      </c>
      <c r="B7" s="12">
        <f>555+1155</f>
        <v>1710</v>
      </c>
      <c r="C7" s="12">
        <f>528.5+165</f>
        <v>693.5</v>
      </c>
      <c r="D7" s="12">
        <f>856+724.5</f>
        <v>1580.5</v>
      </c>
      <c r="E7" s="12"/>
      <c r="F7" s="12"/>
      <c r="G7" s="12"/>
      <c r="H7" s="103"/>
      <c r="I7" s="7"/>
      <c r="J7" s="7"/>
      <c r="K7" s="24"/>
    </row>
    <row r="8" spans="1:18">
      <c r="A8" s="8"/>
      <c r="B8" t="str">
        <f>IF(B4=B7,"Up to Date","Outstanding")</f>
        <v>Up to Date</v>
      </c>
      <c r="C8" t="str">
        <f t="shared" ref="C8:H8" si="1">IF(C4=C7,"Up to Date","Outstanding")</f>
        <v>Up to Date</v>
      </c>
      <c r="D8" t="str">
        <f t="shared" si="1"/>
        <v>Up to Date</v>
      </c>
      <c r="E8" t="str">
        <f t="shared" si="1"/>
        <v>Up to Date</v>
      </c>
      <c r="F8" t="str">
        <f t="shared" si="1"/>
        <v>Up to Date</v>
      </c>
      <c r="G8" t="str">
        <f t="shared" si="1"/>
        <v>Up to Date</v>
      </c>
      <c r="H8" s="25" t="str">
        <f t="shared" si="1"/>
        <v>Up to Date</v>
      </c>
      <c r="I8" s="25" t="str">
        <f>IF(I4=I7,"Up to Date","Outstanding")</f>
        <v>Up to Date</v>
      </c>
      <c r="J8" s="25" t="str">
        <f>IF(J4=J7,"Up to Date","Outstanding")</f>
        <v>Up to Date</v>
      </c>
      <c r="K8" s="5" t="str">
        <f>IF(K4=K7,"Up to Date","Outstanding")</f>
        <v>Up to Date</v>
      </c>
    </row>
    <row r="9" spans="1:18">
      <c r="A9" s="8" t="s">
        <v>11</v>
      </c>
      <c r="B9" s="11">
        <f>B2-B7+B3</f>
        <v>246.5</v>
      </c>
      <c r="C9" s="11">
        <f t="shared" ref="C9:K9" si="2">C2-C7+C3</f>
        <v>232.5</v>
      </c>
      <c r="D9" s="11">
        <f t="shared" si="2"/>
        <v>0</v>
      </c>
      <c r="E9" s="11">
        <f t="shared" si="2"/>
        <v>0</v>
      </c>
      <c r="F9" s="11">
        <f t="shared" si="2"/>
        <v>51.499999999999964</v>
      </c>
      <c r="G9" s="11">
        <f t="shared" si="2"/>
        <v>0</v>
      </c>
      <c r="H9" s="11">
        <f t="shared" si="2"/>
        <v>0</v>
      </c>
      <c r="I9" s="11">
        <f t="shared" si="2"/>
        <v>96.000000000000085</v>
      </c>
      <c r="J9" s="11">
        <f t="shared" si="2"/>
        <v>64.000000000000071</v>
      </c>
      <c r="K9" s="11">
        <f t="shared" si="2"/>
        <v>13.999999999999988</v>
      </c>
      <c r="M9" s="13">
        <f>SUM(B9:K9)</f>
        <v>704.50000000000023</v>
      </c>
      <c r="N9" s="7"/>
      <c r="O9" s="7" t="s">
        <v>256</v>
      </c>
    </row>
    <row r="10" spans="1:18">
      <c r="M10" s="103">
        <f>M9+SUM(B7:K7)</f>
        <v>4688.5</v>
      </c>
      <c r="N10" s="7"/>
      <c r="O10" s="103">
        <f>M10-1400</f>
        <v>3288.5</v>
      </c>
    </row>
    <row r="11" spans="1:18">
      <c r="A11" s="5" t="s">
        <v>1</v>
      </c>
      <c r="B11" s="4" t="s">
        <v>2</v>
      </c>
      <c r="C11" s="4" t="s">
        <v>3</v>
      </c>
      <c r="D11" s="4" t="s">
        <v>4</v>
      </c>
      <c r="E11" s="4" t="s">
        <v>5</v>
      </c>
      <c r="F11" s="6" t="s">
        <v>6</v>
      </c>
    </row>
    <row r="12" spans="1:18">
      <c r="A12" s="1">
        <v>39620</v>
      </c>
      <c r="B12" t="s">
        <v>0</v>
      </c>
      <c r="C12">
        <v>6</v>
      </c>
      <c r="D12" s="2">
        <v>0.38541666666666669</v>
      </c>
      <c r="E12" s="2">
        <v>0.40625</v>
      </c>
      <c r="F12" s="34">
        <f>C12*(E12-D12)*2*24</f>
        <v>5.9999999999999947</v>
      </c>
      <c r="G12" s="3"/>
      <c r="I12">
        <f t="shared" ref="I12:I39" si="3">IF(($B12=B$1),($F12),(0))</f>
        <v>5.9999999999999947</v>
      </c>
      <c r="J12">
        <f t="shared" ref="J12:J39" si="4">IF(($B12=C$1),($F12),(0))</f>
        <v>0</v>
      </c>
      <c r="K12">
        <f t="shared" ref="K12:K39" si="5">IF(($B12=D$1),($F12),(0))</f>
        <v>0</v>
      </c>
      <c r="L12">
        <f t="shared" ref="L12:L39" si="6">IF(($B12=E$1),($F12),(0))</f>
        <v>0</v>
      </c>
      <c r="M12">
        <f t="shared" ref="M12:M39" si="7">IF(($B12=F$1),($F12),(0))</f>
        <v>0</v>
      </c>
      <c r="N12">
        <f t="shared" ref="N12:N39" si="8">IF(($B12=G$1),($F12),(0))</f>
        <v>0</v>
      </c>
      <c r="O12">
        <f>IF(($B12=H$1),($F12),(0))</f>
        <v>0</v>
      </c>
      <c r="P12">
        <f>IF(($B12=I$1),($F12),(0))</f>
        <v>0</v>
      </c>
      <c r="Q12">
        <f>IF(($B12=J$1),($F12),(0))</f>
        <v>0</v>
      </c>
      <c r="R12">
        <f>IF(($B12=K$1),($F12),(0))</f>
        <v>0</v>
      </c>
    </row>
    <row r="13" spans="1:18">
      <c r="A13" s="1">
        <v>39623</v>
      </c>
      <c r="B13" t="s">
        <v>0</v>
      </c>
      <c r="C13">
        <v>7</v>
      </c>
      <c r="D13" s="2">
        <v>0.80208333333333337</v>
      </c>
      <c r="E13" s="2">
        <v>0.82291666666666663</v>
      </c>
      <c r="F13" s="34">
        <f>C13*(E13-D13)*2*24</f>
        <v>6.9999999999999751</v>
      </c>
      <c r="G13" s="3"/>
      <c r="I13">
        <f t="shared" si="3"/>
        <v>6.9999999999999751</v>
      </c>
      <c r="J13">
        <f t="shared" si="4"/>
        <v>0</v>
      </c>
      <c r="K13">
        <f t="shared" si="5"/>
        <v>0</v>
      </c>
      <c r="L13">
        <f t="shared" si="6"/>
        <v>0</v>
      </c>
      <c r="M13">
        <f t="shared" si="7"/>
        <v>0</v>
      </c>
      <c r="N13">
        <f t="shared" si="8"/>
        <v>0</v>
      </c>
      <c r="O13">
        <f t="shared" ref="O13:O39" si="9">IF(($B13=H$1),($F13),(0))</f>
        <v>0</v>
      </c>
      <c r="P13">
        <f t="shared" ref="P13:P76" si="10">IF(($B13=I$1),($F13),(0))</f>
        <v>0</v>
      </c>
      <c r="Q13">
        <f t="shared" ref="Q13:Q76" si="11">IF(($B13=J$1),($F13),(0))</f>
        <v>0</v>
      </c>
      <c r="R13">
        <f t="shared" ref="R13:R76" si="12">IF(($B13=K$1),($F13),(0))</f>
        <v>0</v>
      </c>
    </row>
    <row r="14" spans="1:18">
      <c r="A14" s="1">
        <v>39630</v>
      </c>
      <c r="B14" t="s">
        <v>7</v>
      </c>
      <c r="C14">
        <v>1</v>
      </c>
      <c r="D14" s="2">
        <v>0.73958333333333337</v>
      </c>
      <c r="E14" s="2">
        <v>0.77083333333333337</v>
      </c>
      <c r="F14" s="34">
        <f>C14*(E14-D14)*2*24</f>
        <v>1.5</v>
      </c>
      <c r="G14" s="3"/>
      <c r="I14">
        <f t="shared" si="3"/>
        <v>0</v>
      </c>
      <c r="J14">
        <f t="shared" si="4"/>
        <v>1.5</v>
      </c>
      <c r="K14">
        <f t="shared" si="5"/>
        <v>0</v>
      </c>
      <c r="L14">
        <f t="shared" si="6"/>
        <v>0</v>
      </c>
      <c r="M14">
        <f t="shared" si="7"/>
        <v>0</v>
      </c>
      <c r="N14">
        <f t="shared" si="8"/>
        <v>0</v>
      </c>
      <c r="O14">
        <f t="shared" si="9"/>
        <v>0</v>
      </c>
      <c r="P14">
        <f t="shared" si="10"/>
        <v>0</v>
      </c>
      <c r="Q14">
        <f t="shared" si="11"/>
        <v>0</v>
      </c>
      <c r="R14">
        <f t="shared" si="12"/>
        <v>0</v>
      </c>
    </row>
    <row r="15" spans="1:18">
      <c r="A15" s="1">
        <v>39661</v>
      </c>
      <c r="B15" t="s">
        <v>7</v>
      </c>
      <c r="C15">
        <v>9</v>
      </c>
      <c r="D15" s="2">
        <v>0.79166666666666663</v>
      </c>
      <c r="E15" s="33">
        <v>0.83333333333333337</v>
      </c>
      <c r="F15" s="34">
        <f t="shared" ref="F15:F78" si="13">C15*(E15-D15)*2*24</f>
        <v>18.000000000000032</v>
      </c>
      <c r="G15" s="3"/>
      <c r="I15">
        <f t="shared" si="3"/>
        <v>0</v>
      </c>
      <c r="J15">
        <f t="shared" si="4"/>
        <v>18.000000000000032</v>
      </c>
      <c r="K15">
        <f t="shared" si="5"/>
        <v>0</v>
      </c>
      <c r="L15">
        <f t="shared" si="6"/>
        <v>0</v>
      </c>
      <c r="M15">
        <f t="shared" si="7"/>
        <v>0</v>
      </c>
      <c r="N15">
        <f t="shared" si="8"/>
        <v>0</v>
      </c>
      <c r="O15">
        <f t="shared" si="9"/>
        <v>0</v>
      </c>
      <c r="P15">
        <f t="shared" si="10"/>
        <v>0</v>
      </c>
      <c r="Q15">
        <f t="shared" si="11"/>
        <v>0</v>
      </c>
      <c r="R15">
        <f t="shared" si="12"/>
        <v>0</v>
      </c>
    </row>
    <row r="16" spans="1:18">
      <c r="A16" s="1">
        <v>39678</v>
      </c>
      <c r="B16" t="s">
        <v>7</v>
      </c>
      <c r="C16">
        <v>2</v>
      </c>
      <c r="D16" s="2">
        <v>0.79166666666666663</v>
      </c>
      <c r="E16" s="2">
        <v>0.83333333333333337</v>
      </c>
      <c r="F16" s="34">
        <f t="shared" si="13"/>
        <v>4.0000000000000071</v>
      </c>
      <c r="G16" s="3"/>
      <c r="I16">
        <f t="shared" si="3"/>
        <v>0</v>
      </c>
      <c r="J16">
        <f t="shared" si="4"/>
        <v>4.0000000000000071</v>
      </c>
      <c r="K16">
        <f t="shared" si="5"/>
        <v>0</v>
      </c>
      <c r="L16">
        <f t="shared" si="6"/>
        <v>0</v>
      </c>
      <c r="M16">
        <f t="shared" si="7"/>
        <v>0</v>
      </c>
      <c r="N16">
        <f t="shared" si="8"/>
        <v>0</v>
      </c>
      <c r="O16">
        <f t="shared" si="9"/>
        <v>0</v>
      </c>
      <c r="P16">
        <f t="shared" si="10"/>
        <v>0</v>
      </c>
      <c r="Q16">
        <f t="shared" si="11"/>
        <v>0</v>
      </c>
      <c r="R16">
        <f t="shared" si="12"/>
        <v>0</v>
      </c>
    </row>
    <row r="17" spans="1:18">
      <c r="A17" s="1">
        <v>39678</v>
      </c>
      <c r="B17" t="s">
        <v>7</v>
      </c>
      <c r="C17">
        <v>1</v>
      </c>
      <c r="D17" s="2">
        <v>0.83333333333333337</v>
      </c>
      <c r="E17" s="2">
        <v>0.84375</v>
      </c>
      <c r="F17" s="34">
        <f t="shared" si="13"/>
        <v>0.49999999999999822</v>
      </c>
      <c r="I17">
        <f t="shared" si="3"/>
        <v>0</v>
      </c>
      <c r="J17">
        <f t="shared" si="4"/>
        <v>0.49999999999999822</v>
      </c>
      <c r="K17">
        <f t="shared" si="5"/>
        <v>0</v>
      </c>
      <c r="L17">
        <f t="shared" si="6"/>
        <v>0</v>
      </c>
      <c r="M17">
        <f t="shared" si="7"/>
        <v>0</v>
      </c>
      <c r="N17">
        <f t="shared" si="8"/>
        <v>0</v>
      </c>
      <c r="O17">
        <f t="shared" si="9"/>
        <v>0</v>
      </c>
      <c r="P17">
        <f t="shared" si="10"/>
        <v>0</v>
      </c>
      <c r="Q17">
        <f t="shared" si="11"/>
        <v>0</v>
      </c>
      <c r="R17">
        <f t="shared" si="12"/>
        <v>0</v>
      </c>
    </row>
    <row r="18" spans="1:18">
      <c r="A18" s="1">
        <v>39678</v>
      </c>
      <c r="B18" t="s">
        <v>7</v>
      </c>
      <c r="C18">
        <v>1</v>
      </c>
      <c r="D18" s="2">
        <v>0.84375</v>
      </c>
      <c r="E18" s="2">
        <v>0.85416666666666663</v>
      </c>
      <c r="F18" s="34">
        <f t="shared" si="13"/>
        <v>0.49999999999999822</v>
      </c>
      <c r="I18">
        <f t="shared" si="3"/>
        <v>0</v>
      </c>
      <c r="J18">
        <f t="shared" si="4"/>
        <v>0.49999999999999822</v>
      </c>
      <c r="K18">
        <f t="shared" si="5"/>
        <v>0</v>
      </c>
      <c r="L18">
        <f t="shared" si="6"/>
        <v>0</v>
      </c>
      <c r="M18">
        <f t="shared" si="7"/>
        <v>0</v>
      </c>
      <c r="N18">
        <f t="shared" si="8"/>
        <v>0</v>
      </c>
      <c r="O18">
        <f t="shared" si="9"/>
        <v>0</v>
      </c>
      <c r="P18">
        <f t="shared" si="10"/>
        <v>0</v>
      </c>
      <c r="Q18">
        <f t="shared" si="11"/>
        <v>0</v>
      </c>
      <c r="R18">
        <f t="shared" si="12"/>
        <v>0</v>
      </c>
    </row>
    <row r="19" spans="1:18">
      <c r="A19" s="1">
        <v>39679</v>
      </c>
      <c r="B19" t="s">
        <v>7</v>
      </c>
      <c r="C19">
        <v>1</v>
      </c>
      <c r="D19" s="2">
        <v>0.26041666666666669</v>
      </c>
      <c r="E19" s="2">
        <v>0.28125</v>
      </c>
      <c r="F19" s="34">
        <f t="shared" si="13"/>
        <v>0.99999999999999911</v>
      </c>
      <c r="I19">
        <f t="shared" si="3"/>
        <v>0</v>
      </c>
      <c r="J19">
        <f t="shared" si="4"/>
        <v>0.99999999999999911</v>
      </c>
      <c r="K19">
        <f t="shared" si="5"/>
        <v>0</v>
      </c>
      <c r="L19">
        <f t="shared" si="6"/>
        <v>0</v>
      </c>
      <c r="M19">
        <f t="shared" si="7"/>
        <v>0</v>
      </c>
      <c r="N19">
        <f t="shared" si="8"/>
        <v>0</v>
      </c>
      <c r="O19">
        <f t="shared" si="9"/>
        <v>0</v>
      </c>
      <c r="P19">
        <f t="shared" si="10"/>
        <v>0</v>
      </c>
      <c r="Q19">
        <f t="shared" si="11"/>
        <v>0</v>
      </c>
      <c r="R19">
        <f t="shared" si="12"/>
        <v>0</v>
      </c>
    </row>
    <row r="20" spans="1:18">
      <c r="A20" s="1">
        <v>39680</v>
      </c>
      <c r="B20" t="s">
        <v>7</v>
      </c>
      <c r="C20">
        <v>2</v>
      </c>
      <c r="D20" s="2">
        <v>0.79166666666666663</v>
      </c>
      <c r="E20" s="2">
        <v>0.80208333333333337</v>
      </c>
      <c r="F20" s="34">
        <f t="shared" si="13"/>
        <v>1.0000000000000071</v>
      </c>
      <c r="I20">
        <f t="shared" si="3"/>
        <v>0</v>
      </c>
      <c r="J20">
        <f t="shared" si="4"/>
        <v>1.0000000000000071</v>
      </c>
      <c r="K20">
        <f t="shared" si="5"/>
        <v>0</v>
      </c>
      <c r="L20">
        <f t="shared" si="6"/>
        <v>0</v>
      </c>
      <c r="M20">
        <f t="shared" si="7"/>
        <v>0</v>
      </c>
      <c r="N20">
        <f t="shared" si="8"/>
        <v>0</v>
      </c>
      <c r="O20">
        <f t="shared" si="9"/>
        <v>0</v>
      </c>
      <c r="P20">
        <f t="shared" si="10"/>
        <v>0</v>
      </c>
      <c r="Q20">
        <f t="shared" si="11"/>
        <v>0</v>
      </c>
      <c r="R20">
        <f t="shared" si="12"/>
        <v>0</v>
      </c>
    </row>
    <row r="21" spans="1:18">
      <c r="A21" s="1">
        <v>39680</v>
      </c>
      <c r="B21" t="s">
        <v>7</v>
      </c>
      <c r="C21">
        <v>2</v>
      </c>
      <c r="D21" s="2">
        <v>0.84375</v>
      </c>
      <c r="E21" s="2">
        <v>0.85416666666666663</v>
      </c>
      <c r="F21" s="34">
        <f t="shared" si="13"/>
        <v>0.99999999999999645</v>
      </c>
      <c r="I21">
        <f t="shared" si="3"/>
        <v>0</v>
      </c>
      <c r="J21">
        <f t="shared" si="4"/>
        <v>0.99999999999999645</v>
      </c>
      <c r="K21">
        <f t="shared" si="5"/>
        <v>0</v>
      </c>
      <c r="L21">
        <f t="shared" si="6"/>
        <v>0</v>
      </c>
      <c r="M21">
        <f t="shared" si="7"/>
        <v>0</v>
      </c>
      <c r="N21">
        <f t="shared" si="8"/>
        <v>0</v>
      </c>
      <c r="O21">
        <f t="shared" si="9"/>
        <v>0</v>
      </c>
      <c r="P21">
        <f t="shared" si="10"/>
        <v>0</v>
      </c>
      <c r="Q21">
        <f t="shared" si="11"/>
        <v>0</v>
      </c>
      <c r="R21">
        <f t="shared" si="12"/>
        <v>0</v>
      </c>
    </row>
    <row r="22" spans="1:18">
      <c r="A22" s="1">
        <v>39683</v>
      </c>
      <c r="B22" t="s">
        <v>7</v>
      </c>
      <c r="C22">
        <v>2</v>
      </c>
      <c r="D22" s="2">
        <v>0.29166666666666669</v>
      </c>
      <c r="E22" s="2">
        <v>0.30208333333333331</v>
      </c>
      <c r="F22" s="34">
        <f t="shared" si="13"/>
        <v>0.99999999999999645</v>
      </c>
      <c r="I22">
        <f t="shared" si="3"/>
        <v>0</v>
      </c>
      <c r="J22">
        <f t="shared" si="4"/>
        <v>0.99999999999999645</v>
      </c>
      <c r="K22">
        <f t="shared" si="5"/>
        <v>0</v>
      </c>
      <c r="L22">
        <f t="shared" si="6"/>
        <v>0</v>
      </c>
      <c r="M22">
        <f t="shared" si="7"/>
        <v>0</v>
      </c>
      <c r="N22">
        <f t="shared" si="8"/>
        <v>0</v>
      </c>
      <c r="O22">
        <f t="shared" si="9"/>
        <v>0</v>
      </c>
      <c r="P22">
        <f t="shared" si="10"/>
        <v>0</v>
      </c>
      <c r="Q22">
        <f t="shared" si="11"/>
        <v>0</v>
      </c>
      <c r="R22">
        <f t="shared" si="12"/>
        <v>0</v>
      </c>
    </row>
    <row r="23" spans="1:18">
      <c r="A23" s="1">
        <v>39683</v>
      </c>
      <c r="B23" t="s">
        <v>7</v>
      </c>
      <c r="C23">
        <v>1</v>
      </c>
      <c r="D23" s="2">
        <v>0.30208333333333331</v>
      </c>
      <c r="E23" s="2">
        <v>0.3125</v>
      </c>
      <c r="F23" s="34">
        <f t="shared" si="13"/>
        <v>0.50000000000000089</v>
      </c>
      <c r="I23">
        <f t="shared" si="3"/>
        <v>0</v>
      </c>
      <c r="J23">
        <f t="shared" si="4"/>
        <v>0.50000000000000089</v>
      </c>
      <c r="K23">
        <f t="shared" si="5"/>
        <v>0</v>
      </c>
      <c r="L23">
        <f t="shared" si="6"/>
        <v>0</v>
      </c>
      <c r="M23">
        <f t="shared" si="7"/>
        <v>0</v>
      </c>
      <c r="N23">
        <f t="shared" si="8"/>
        <v>0</v>
      </c>
      <c r="O23">
        <f t="shared" si="9"/>
        <v>0</v>
      </c>
      <c r="P23">
        <f t="shared" si="10"/>
        <v>0</v>
      </c>
      <c r="Q23">
        <f t="shared" si="11"/>
        <v>0</v>
      </c>
      <c r="R23">
        <f t="shared" si="12"/>
        <v>0</v>
      </c>
    </row>
    <row r="24" spans="1:18">
      <c r="A24" s="1">
        <v>39683</v>
      </c>
      <c r="B24" t="s">
        <v>7</v>
      </c>
      <c r="C24">
        <v>1</v>
      </c>
      <c r="D24" s="2">
        <v>0.3125</v>
      </c>
      <c r="E24" s="2">
        <v>0.32291666666666669</v>
      </c>
      <c r="F24" s="34">
        <f t="shared" si="13"/>
        <v>0.50000000000000089</v>
      </c>
      <c r="I24">
        <f t="shared" si="3"/>
        <v>0</v>
      </c>
      <c r="J24">
        <f t="shared" si="4"/>
        <v>0.50000000000000089</v>
      </c>
      <c r="K24">
        <f t="shared" si="5"/>
        <v>0</v>
      </c>
      <c r="L24">
        <f t="shared" si="6"/>
        <v>0</v>
      </c>
      <c r="M24">
        <f t="shared" si="7"/>
        <v>0</v>
      </c>
      <c r="N24">
        <f t="shared" si="8"/>
        <v>0</v>
      </c>
      <c r="O24">
        <f t="shared" si="9"/>
        <v>0</v>
      </c>
      <c r="P24">
        <f t="shared" si="10"/>
        <v>0</v>
      </c>
      <c r="Q24">
        <f t="shared" si="11"/>
        <v>0</v>
      </c>
      <c r="R24">
        <f t="shared" si="12"/>
        <v>0</v>
      </c>
    </row>
    <row r="25" spans="1:18">
      <c r="A25" s="1">
        <v>39683</v>
      </c>
      <c r="B25" t="s">
        <v>7</v>
      </c>
      <c r="C25">
        <v>1</v>
      </c>
      <c r="D25" s="2">
        <v>0.33333333333333331</v>
      </c>
      <c r="E25" s="2">
        <v>0.34375</v>
      </c>
      <c r="F25" s="34">
        <f t="shared" si="13"/>
        <v>0.50000000000000089</v>
      </c>
      <c r="I25">
        <f t="shared" si="3"/>
        <v>0</v>
      </c>
      <c r="J25">
        <f t="shared" si="4"/>
        <v>0.50000000000000089</v>
      </c>
      <c r="K25">
        <f t="shared" si="5"/>
        <v>0</v>
      </c>
      <c r="L25">
        <f t="shared" si="6"/>
        <v>0</v>
      </c>
      <c r="M25">
        <f t="shared" si="7"/>
        <v>0</v>
      </c>
      <c r="N25">
        <f t="shared" si="8"/>
        <v>0</v>
      </c>
      <c r="O25">
        <f t="shared" si="9"/>
        <v>0</v>
      </c>
      <c r="P25">
        <f t="shared" si="10"/>
        <v>0</v>
      </c>
      <c r="Q25">
        <f t="shared" si="11"/>
        <v>0</v>
      </c>
      <c r="R25">
        <f t="shared" si="12"/>
        <v>0</v>
      </c>
    </row>
    <row r="26" spans="1:18">
      <c r="A26" s="1">
        <v>39683</v>
      </c>
      <c r="B26" t="s">
        <v>7</v>
      </c>
      <c r="C26">
        <v>1</v>
      </c>
      <c r="D26" s="2">
        <v>0.34375</v>
      </c>
      <c r="E26" s="2">
        <v>0.35416666666666669</v>
      </c>
      <c r="F26" s="34">
        <f t="shared" si="13"/>
        <v>0.50000000000000089</v>
      </c>
      <c r="I26">
        <f t="shared" si="3"/>
        <v>0</v>
      </c>
      <c r="J26">
        <f t="shared" si="4"/>
        <v>0.50000000000000089</v>
      </c>
      <c r="K26">
        <f t="shared" si="5"/>
        <v>0</v>
      </c>
      <c r="L26">
        <f t="shared" si="6"/>
        <v>0</v>
      </c>
      <c r="M26">
        <f t="shared" si="7"/>
        <v>0</v>
      </c>
      <c r="N26">
        <f t="shared" si="8"/>
        <v>0</v>
      </c>
      <c r="O26">
        <f t="shared" si="9"/>
        <v>0</v>
      </c>
      <c r="P26">
        <f t="shared" si="10"/>
        <v>0</v>
      </c>
      <c r="Q26">
        <f t="shared" si="11"/>
        <v>0</v>
      </c>
      <c r="R26">
        <f t="shared" si="12"/>
        <v>0</v>
      </c>
    </row>
    <row r="27" spans="1:18">
      <c r="A27" s="1">
        <v>39683</v>
      </c>
      <c r="B27" t="s">
        <v>7</v>
      </c>
      <c r="C27">
        <v>1</v>
      </c>
      <c r="D27" s="2">
        <v>0.35416666666666669</v>
      </c>
      <c r="E27" s="2">
        <v>0.36458333333333331</v>
      </c>
      <c r="F27" s="34">
        <f t="shared" si="13"/>
        <v>0.49999999999999822</v>
      </c>
      <c r="I27">
        <f t="shared" si="3"/>
        <v>0</v>
      </c>
      <c r="J27">
        <f t="shared" si="4"/>
        <v>0.49999999999999822</v>
      </c>
      <c r="K27">
        <f t="shared" si="5"/>
        <v>0</v>
      </c>
      <c r="L27">
        <f t="shared" si="6"/>
        <v>0</v>
      </c>
      <c r="M27">
        <f t="shared" si="7"/>
        <v>0</v>
      </c>
      <c r="N27">
        <f t="shared" si="8"/>
        <v>0</v>
      </c>
      <c r="O27">
        <f t="shared" si="9"/>
        <v>0</v>
      </c>
      <c r="P27">
        <f t="shared" si="10"/>
        <v>0</v>
      </c>
      <c r="Q27">
        <f t="shared" si="11"/>
        <v>0</v>
      </c>
      <c r="R27">
        <f t="shared" si="12"/>
        <v>0</v>
      </c>
    </row>
    <row r="28" spans="1:18">
      <c r="A28" s="1">
        <v>39683</v>
      </c>
      <c r="B28" t="s">
        <v>7</v>
      </c>
      <c r="C28">
        <v>1</v>
      </c>
      <c r="D28" s="2">
        <v>0.36458333333333331</v>
      </c>
      <c r="E28" s="2">
        <v>0.375</v>
      </c>
      <c r="F28" s="34">
        <f t="shared" si="13"/>
        <v>0.50000000000000089</v>
      </c>
      <c r="I28">
        <f t="shared" si="3"/>
        <v>0</v>
      </c>
      <c r="J28">
        <f t="shared" si="4"/>
        <v>0.50000000000000089</v>
      </c>
      <c r="K28">
        <f t="shared" si="5"/>
        <v>0</v>
      </c>
      <c r="L28">
        <f t="shared" si="6"/>
        <v>0</v>
      </c>
      <c r="M28">
        <f t="shared" si="7"/>
        <v>0</v>
      </c>
      <c r="N28">
        <f t="shared" si="8"/>
        <v>0</v>
      </c>
      <c r="O28">
        <f t="shared" si="9"/>
        <v>0</v>
      </c>
      <c r="P28">
        <f t="shared" si="10"/>
        <v>0</v>
      </c>
      <c r="Q28">
        <f t="shared" si="11"/>
        <v>0</v>
      </c>
      <c r="R28">
        <f t="shared" si="12"/>
        <v>0</v>
      </c>
    </row>
    <row r="29" spans="1:18">
      <c r="A29" s="1">
        <v>39686</v>
      </c>
      <c r="B29" t="s">
        <v>7</v>
      </c>
      <c r="C29">
        <v>2</v>
      </c>
      <c r="D29" s="2">
        <v>0.75</v>
      </c>
      <c r="E29" s="2">
        <v>0.79166666666666663</v>
      </c>
      <c r="F29" s="34">
        <f t="shared" si="13"/>
        <v>3.9999999999999964</v>
      </c>
      <c r="I29">
        <f t="shared" si="3"/>
        <v>0</v>
      </c>
      <c r="J29">
        <f t="shared" si="4"/>
        <v>3.9999999999999964</v>
      </c>
      <c r="K29">
        <f t="shared" si="5"/>
        <v>0</v>
      </c>
      <c r="L29">
        <f t="shared" si="6"/>
        <v>0</v>
      </c>
      <c r="M29">
        <f t="shared" si="7"/>
        <v>0</v>
      </c>
      <c r="N29">
        <f t="shared" si="8"/>
        <v>0</v>
      </c>
      <c r="O29">
        <f t="shared" si="9"/>
        <v>0</v>
      </c>
      <c r="P29">
        <f t="shared" si="10"/>
        <v>0</v>
      </c>
      <c r="Q29">
        <f t="shared" si="11"/>
        <v>0</v>
      </c>
      <c r="R29">
        <f t="shared" si="12"/>
        <v>0</v>
      </c>
    </row>
    <row r="30" spans="1:18">
      <c r="A30" s="1">
        <v>39686</v>
      </c>
      <c r="B30" t="s">
        <v>7</v>
      </c>
      <c r="C30">
        <v>4</v>
      </c>
      <c r="D30" s="2">
        <v>0.79166666666666663</v>
      </c>
      <c r="E30" s="2">
        <v>0.83333333333333337</v>
      </c>
      <c r="F30" s="34">
        <f t="shared" si="13"/>
        <v>8.0000000000000142</v>
      </c>
      <c r="I30">
        <f t="shared" si="3"/>
        <v>0</v>
      </c>
      <c r="J30">
        <f t="shared" si="4"/>
        <v>8.0000000000000142</v>
      </c>
      <c r="K30">
        <f t="shared" si="5"/>
        <v>0</v>
      </c>
      <c r="L30">
        <f t="shared" si="6"/>
        <v>0</v>
      </c>
      <c r="M30">
        <f t="shared" si="7"/>
        <v>0</v>
      </c>
      <c r="N30">
        <f t="shared" si="8"/>
        <v>0</v>
      </c>
      <c r="O30">
        <f t="shared" si="9"/>
        <v>0</v>
      </c>
      <c r="P30">
        <f t="shared" si="10"/>
        <v>0</v>
      </c>
      <c r="Q30">
        <f t="shared" si="11"/>
        <v>0</v>
      </c>
      <c r="R30">
        <f t="shared" si="12"/>
        <v>0</v>
      </c>
    </row>
    <row r="31" spans="1:18">
      <c r="A31" s="1">
        <v>39701</v>
      </c>
      <c r="B31" t="s">
        <v>7</v>
      </c>
      <c r="C31">
        <v>2</v>
      </c>
      <c r="D31" s="2">
        <v>0.77083333333333337</v>
      </c>
      <c r="E31" s="2">
        <v>0.8125</v>
      </c>
      <c r="F31" s="34">
        <f t="shared" si="13"/>
        <v>3.9999999999999964</v>
      </c>
      <c r="I31">
        <f t="shared" si="3"/>
        <v>0</v>
      </c>
      <c r="J31">
        <f t="shared" si="4"/>
        <v>3.9999999999999964</v>
      </c>
      <c r="K31">
        <f t="shared" si="5"/>
        <v>0</v>
      </c>
      <c r="L31">
        <f t="shared" si="6"/>
        <v>0</v>
      </c>
      <c r="M31">
        <f t="shared" si="7"/>
        <v>0</v>
      </c>
      <c r="N31">
        <f t="shared" si="8"/>
        <v>0</v>
      </c>
      <c r="O31">
        <f t="shared" si="9"/>
        <v>0</v>
      </c>
      <c r="P31">
        <f t="shared" si="10"/>
        <v>0</v>
      </c>
      <c r="Q31">
        <f t="shared" si="11"/>
        <v>0</v>
      </c>
      <c r="R31">
        <f t="shared" si="12"/>
        <v>0</v>
      </c>
    </row>
    <row r="32" spans="1:18">
      <c r="A32" s="1">
        <v>39707</v>
      </c>
      <c r="B32" t="s">
        <v>7</v>
      </c>
      <c r="C32">
        <v>2</v>
      </c>
      <c r="D32" s="2">
        <v>0.79166666666666663</v>
      </c>
      <c r="E32" s="2">
        <v>0.83333333333333337</v>
      </c>
      <c r="F32" s="34">
        <f t="shared" si="13"/>
        <v>4.0000000000000071</v>
      </c>
      <c r="I32">
        <f t="shared" si="3"/>
        <v>0</v>
      </c>
      <c r="J32">
        <f t="shared" si="4"/>
        <v>4.0000000000000071</v>
      </c>
      <c r="K32">
        <f t="shared" si="5"/>
        <v>0</v>
      </c>
      <c r="L32">
        <f t="shared" si="6"/>
        <v>0</v>
      </c>
      <c r="M32">
        <f t="shared" si="7"/>
        <v>0</v>
      </c>
      <c r="N32">
        <f t="shared" si="8"/>
        <v>0</v>
      </c>
      <c r="O32">
        <f t="shared" si="9"/>
        <v>0</v>
      </c>
      <c r="P32">
        <f t="shared" si="10"/>
        <v>0</v>
      </c>
      <c r="Q32">
        <f t="shared" si="11"/>
        <v>0</v>
      </c>
      <c r="R32">
        <f t="shared" si="12"/>
        <v>0</v>
      </c>
    </row>
    <row r="33" spans="1:18">
      <c r="A33" s="1">
        <v>39712</v>
      </c>
      <c r="B33" t="s">
        <v>7</v>
      </c>
      <c r="C33">
        <v>1</v>
      </c>
      <c r="D33" s="2">
        <v>0.6875</v>
      </c>
      <c r="E33" s="2">
        <v>0.71875</v>
      </c>
      <c r="F33" s="34">
        <f t="shared" si="13"/>
        <v>1.5</v>
      </c>
      <c r="I33">
        <f t="shared" si="3"/>
        <v>0</v>
      </c>
      <c r="J33">
        <f t="shared" si="4"/>
        <v>1.5</v>
      </c>
      <c r="K33">
        <f t="shared" si="5"/>
        <v>0</v>
      </c>
      <c r="L33">
        <f t="shared" si="6"/>
        <v>0</v>
      </c>
      <c r="M33">
        <f t="shared" si="7"/>
        <v>0</v>
      </c>
      <c r="N33">
        <f t="shared" si="8"/>
        <v>0</v>
      </c>
      <c r="O33">
        <f t="shared" si="9"/>
        <v>0</v>
      </c>
      <c r="P33">
        <f t="shared" si="10"/>
        <v>0</v>
      </c>
      <c r="Q33">
        <f t="shared" si="11"/>
        <v>0</v>
      </c>
      <c r="R33">
        <f t="shared" si="12"/>
        <v>0</v>
      </c>
    </row>
    <row r="34" spans="1:18">
      <c r="A34" s="1">
        <v>39713</v>
      </c>
      <c r="B34" t="s">
        <v>7</v>
      </c>
      <c r="C34">
        <v>1</v>
      </c>
      <c r="D34" s="2">
        <v>0.79166666666666663</v>
      </c>
      <c r="E34" s="2">
        <v>0.83333333333333337</v>
      </c>
      <c r="F34" s="34">
        <f t="shared" si="13"/>
        <v>2.0000000000000036</v>
      </c>
      <c r="I34">
        <f t="shared" si="3"/>
        <v>0</v>
      </c>
      <c r="J34">
        <f t="shared" si="4"/>
        <v>2.0000000000000036</v>
      </c>
      <c r="K34">
        <f t="shared" si="5"/>
        <v>0</v>
      </c>
      <c r="L34">
        <f t="shared" si="6"/>
        <v>0</v>
      </c>
      <c r="M34">
        <f t="shared" si="7"/>
        <v>0</v>
      </c>
      <c r="N34">
        <f t="shared" si="8"/>
        <v>0</v>
      </c>
      <c r="O34">
        <f t="shared" si="9"/>
        <v>0</v>
      </c>
      <c r="P34">
        <f t="shared" si="10"/>
        <v>0</v>
      </c>
      <c r="Q34">
        <f t="shared" si="11"/>
        <v>0</v>
      </c>
      <c r="R34">
        <f t="shared" si="12"/>
        <v>0</v>
      </c>
    </row>
    <row r="35" spans="1:18">
      <c r="A35" s="1">
        <v>39717</v>
      </c>
      <c r="B35" t="s">
        <v>7</v>
      </c>
      <c r="C35">
        <v>1</v>
      </c>
      <c r="D35" s="2">
        <v>0.80208333333333337</v>
      </c>
      <c r="E35" s="2">
        <v>0.84375</v>
      </c>
      <c r="F35" s="34">
        <f t="shared" si="13"/>
        <v>1.9999999999999982</v>
      </c>
      <c r="I35">
        <f t="shared" si="3"/>
        <v>0</v>
      </c>
      <c r="J35">
        <f t="shared" si="4"/>
        <v>1.9999999999999982</v>
      </c>
      <c r="K35">
        <f t="shared" si="5"/>
        <v>0</v>
      </c>
      <c r="L35">
        <f t="shared" si="6"/>
        <v>0</v>
      </c>
      <c r="M35">
        <f t="shared" si="7"/>
        <v>0</v>
      </c>
      <c r="N35">
        <f t="shared" si="8"/>
        <v>0</v>
      </c>
      <c r="O35">
        <f t="shared" si="9"/>
        <v>0</v>
      </c>
      <c r="P35">
        <f t="shared" si="10"/>
        <v>0</v>
      </c>
      <c r="Q35">
        <f t="shared" si="11"/>
        <v>0</v>
      </c>
      <c r="R35">
        <f t="shared" si="12"/>
        <v>0</v>
      </c>
    </row>
    <row r="36" spans="1:18">
      <c r="A36" s="1">
        <v>39731</v>
      </c>
      <c r="B36" t="s">
        <v>0</v>
      </c>
      <c r="C36">
        <v>7</v>
      </c>
      <c r="D36" s="2">
        <v>0.72916666666666663</v>
      </c>
      <c r="E36" s="2">
        <v>0.8125</v>
      </c>
      <c r="F36" s="34">
        <f t="shared" si="13"/>
        <v>28.000000000000014</v>
      </c>
      <c r="I36">
        <f t="shared" si="3"/>
        <v>28.000000000000014</v>
      </c>
      <c r="J36">
        <f t="shared" si="4"/>
        <v>0</v>
      </c>
      <c r="K36">
        <f t="shared" si="5"/>
        <v>0</v>
      </c>
      <c r="L36">
        <f t="shared" si="6"/>
        <v>0</v>
      </c>
      <c r="M36">
        <f t="shared" si="7"/>
        <v>0</v>
      </c>
      <c r="N36">
        <f t="shared" si="8"/>
        <v>0</v>
      </c>
      <c r="O36">
        <f t="shared" si="9"/>
        <v>0</v>
      </c>
      <c r="P36">
        <f t="shared" si="10"/>
        <v>0</v>
      </c>
      <c r="Q36">
        <f t="shared" si="11"/>
        <v>0</v>
      </c>
      <c r="R36">
        <f t="shared" si="12"/>
        <v>0</v>
      </c>
    </row>
    <row r="37" spans="1:18">
      <c r="A37" s="1">
        <v>39734</v>
      </c>
      <c r="B37" t="s">
        <v>7</v>
      </c>
      <c r="C37">
        <v>1</v>
      </c>
      <c r="D37" s="2">
        <v>0.80208333333333337</v>
      </c>
      <c r="E37" s="2">
        <v>0.83333333333333337</v>
      </c>
      <c r="F37" s="34">
        <f t="shared" si="13"/>
        <v>1.5</v>
      </c>
      <c r="I37">
        <f t="shared" si="3"/>
        <v>0</v>
      </c>
      <c r="J37">
        <f t="shared" si="4"/>
        <v>1.5</v>
      </c>
      <c r="K37">
        <f t="shared" si="5"/>
        <v>0</v>
      </c>
      <c r="L37">
        <f t="shared" si="6"/>
        <v>0</v>
      </c>
      <c r="M37">
        <f t="shared" si="7"/>
        <v>0</v>
      </c>
      <c r="N37">
        <f t="shared" si="8"/>
        <v>0</v>
      </c>
      <c r="O37">
        <f t="shared" si="9"/>
        <v>0</v>
      </c>
      <c r="P37">
        <f t="shared" si="10"/>
        <v>0</v>
      </c>
      <c r="Q37">
        <f t="shared" si="11"/>
        <v>0</v>
      </c>
      <c r="R37">
        <f t="shared" si="12"/>
        <v>0</v>
      </c>
    </row>
    <row r="38" spans="1:18">
      <c r="A38" s="1">
        <v>39735</v>
      </c>
      <c r="B38" t="s">
        <v>8</v>
      </c>
      <c r="C38">
        <v>6</v>
      </c>
      <c r="D38" s="2">
        <v>0.79166666666666663</v>
      </c>
      <c r="E38" s="2">
        <v>0.83333333333333337</v>
      </c>
      <c r="F38" s="34">
        <f t="shared" si="13"/>
        <v>12.000000000000021</v>
      </c>
      <c r="I38">
        <f t="shared" si="3"/>
        <v>0</v>
      </c>
      <c r="J38">
        <f t="shared" si="4"/>
        <v>0</v>
      </c>
      <c r="K38">
        <f t="shared" si="5"/>
        <v>12.000000000000021</v>
      </c>
      <c r="L38">
        <f t="shared" si="6"/>
        <v>0</v>
      </c>
      <c r="M38">
        <f t="shared" si="7"/>
        <v>0</v>
      </c>
      <c r="N38">
        <f t="shared" si="8"/>
        <v>0</v>
      </c>
      <c r="O38">
        <f t="shared" si="9"/>
        <v>0</v>
      </c>
      <c r="P38">
        <f t="shared" si="10"/>
        <v>0</v>
      </c>
      <c r="Q38">
        <f t="shared" si="11"/>
        <v>0</v>
      </c>
      <c r="R38">
        <f t="shared" si="12"/>
        <v>0</v>
      </c>
    </row>
    <row r="39" spans="1:18">
      <c r="A39" s="1">
        <v>39736</v>
      </c>
      <c r="B39" t="s">
        <v>7</v>
      </c>
      <c r="C39">
        <v>8</v>
      </c>
      <c r="D39" s="2">
        <v>0.75</v>
      </c>
      <c r="E39" s="2">
        <v>0.79166666666666663</v>
      </c>
      <c r="F39" s="34">
        <f t="shared" si="13"/>
        <v>15.999999999999986</v>
      </c>
      <c r="I39">
        <f t="shared" si="3"/>
        <v>0</v>
      </c>
      <c r="J39">
        <f t="shared" si="4"/>
        <v>15.999999999999986</v>
      </c>
      <c r="K39">
        <f t="shared" si="5"/>
        <v>0</v>
      </c>
      <c r="L39">
        <f t="shared" si="6"/>
        <v>0</v>
      </c>
      <c r="M39">
        <f t="shared" si="7"/>
        <v>0</v>
      </c>
      <c r="N39">
        <f t="shared" si="8"/>
        <v>0</v>
      </c>
      <c r="O39">
        <f t="shared" si="9"/>
        <v>0</v>
      </c>
      <c r="P39">
        <f t="shared" si="10"/>
        <v>0</v>
      </c>
      <c r="Q39">
        <f t="shared" si="11"/>
        <v>0</v>
      </c>
      <c r="R39">
        <f t="shared" si="12"/>
        <v>0</v>
      </c>
    </row>
    <row r="40" spans="1:18">
      <c r="A40" s="1">
        <v>39737</v>
      </c>
      <c r="B40" t="s">
        <v>7</v>
      </c>
      <c r="C40">
        <v>2</v>
      </c>
      <c r="D40" s="2">
        <v>0.76041666666666663</v>
      </c>
      <c r="E40" s="2">
        <v>0.79166666666666663</v>
      </c>
      <c r="F40" s="34">
        <f t="shared" si="13"/>
        <v>3</v>
      </c>
      <c r="I40">
        <f t="shared" ref="I40:I103" si="14">IF(($B40=B$1),($F40),(0))</f>
        <v>0</v>
      </c>
      <c r="J40">
        <f t="shared" ref="J40:J103" si="15">IF(($B40=C$1),($F40),(0))</f>
        <v>3</v>
      </c>
      <c r="K40">
        <f t="shared" ref="K40:K103" si="16">IF(($B40=D$1),($F40),(0))</f>
        <v>0</v>
      </c>
      <c r="L40">
        <f t="shared" ref="L40:L103" si="17">IF(($B40=E$1),($F40),(0))</f>
        <v>0</v>
      </c>
      <c r="M40">
        <f t="shared" ref="M40:M103" si="18">IF(($B40=F$1),($F40),(0))</f>
        <v>0</v>
      </c>
      <c r="N40">
        <f t="shared" ref="N40:N103" si="19">IF(($B40=G$1),($F40),(0))</f>
        <v>0</v>
      </c>
      <c r="O40">
        <f t="shared" ref="O40:O103" si="20">IF(($B40=H$1),($F40),(0))</f>
        <v>0</v>
      </c>
      <c r="P40">
        <f t="shared" si="10"/>
        <v>0</v>
      </c>
      <c r="Q40">
        <f t="shared" si="11"/>
        <v>0</v>
      </c>
      <c r="R40">
        <f t="shared" si="12"/>
        <v>0</v>
      </c>
    </row>
    <row r="41" spans="1:18">
      <c r="A41" s="1">
        <v>39737</v>
      </c>
      <c r="B41" t="s">
        <v>8</v>
      </c>
      <c r="C41">
        <v>8</v>
      </c>
      <c r="D41" s="2">
        <v>0.83333333333333337</v>
      </c>
      <c r="E41" s="2">
        <v>0.875</v>
      </c>
      <c r="F41" s="34">
        <f t="shared" si="13"/>
        <v>15.999999999999986</v>
      </c>
      <c r="I41">
        <f t="shared" si="14"/>
        <v>0</v>
      </c>
      <c r="J41">
        <f t="shared" si="15"/>
        <v>0</v>
      </c>
      <c r="K41">
        <f t="shared" si="16"/>
        <v>15.999999999999986</v>
      </c>
      <c r="L41">
        <f t="shared" si="17"/>
        <v>0</v>
      </c>
      <c r="M41">
        <f t="shared" si="18"/>
        <v>0</v>
      </c>
      <c r="N41">
        <f t="shared" si="19"/>
        <v>0</v>
      </c>
      <c r="O41">
        <f t="shared" si="20"/>
        <v>0</v>
      </c>
      <c r="P41">
        <f t="shared" si="10"/>
        <v>0</v>
      </c>
      <c r="Q41">
        <f t="shared" si="11"/>
        <v>0</v>
      </c>
      <c r="R41">
        <f t="shared" si="12"/>
        <v>0</v>
      </c>
    </row>
    <row r="42" spans="1:18">
      <c r="A42" s="1">
        <v>39738</v>
      </c>
      <c r="B42" t="s">
        <v>8</v>
      </c>
      <c r="C42">
        <v>8</v>
      </c>
      <c r="D42" s="2">
        <v>0.30208333333333331</v>
      </c>
      <c r="E42" s="2">
        <v>0.34375</v>
      </c>
      <c r="F42" s="34">
        <f t="shared" si="13"/>
        <v>16.000000000000007</v>
      </c>
      <c r="I42">
        <f t="shared" si="14"/>
        <v>0</v>
      </c>
      <c r="J42">
        <f t="shared" si="15"/>
        <v>0</v>
      </c>
      <c r="K42">
        <f t="shared" si="16"/>
        <v>16.000000000000007</v>
      </c>
      <c r="L42">
        <f t="shared" si="17"/>
        <v>0</v>
      </c>
      <c r="M42">
        <f t="shared" si="18"/>
        <v>0</v>
      </c>
      <c r="N42">
        <f t="shared" si="19"/>
        <v>0</v>
      </c>
      <c r="O42">
        <f t="shared" si="20"/>
        <v>0</v>
      </c>
      <c r="P42">
        <f t="shared" si="10"/>
        <v>0</v>
      </c>
      <c r="Q42">
        <f t="shared" si="11"/>
        <v>0</v>
      </c>
      <c r="R42">
        <f t="shared" si="12"/>
        <v>0</v>
      </c>
    </row>
    <row r="43" spans="1:18">
      <c r="A43" s="1">
        <v>39739</v>
      </c>
      <c r="B43" t="s">
        <v>8</v>
      </c>
      <c r="C43">
        <v>7</v>
      </c>
      <c r="D43" s="2">
        <v>0.60416666666666663</v>
      </c>
      <c r="E43" s="2">
        <v>0.63541666666666663</v>
      </c>
      <c r="F43" s="34">
        <f t="shared" si="13"/>
        <v>10.5</v>
      </c>
      <c r="I43">
        <f t="shared" si="14"/>
        <v>0</v>
      </c>
      <c r="J43">
        <f t="shared" si="15"/>
        <v>0</v>
      </c>
      <c r="K43">
        <f t="shared" si="16"/>
        <v>10.5</v>
      </c>
      <c r="L43">
        <f t="shared" si="17"/>
        <v>0</v>
      </c>
      <c r="M43">
        <f t="shared" si="18"/>
        <v>0</v>
      </c>
      <c r="N43">
        <f t="shared" si="19"/>
        <v>0</v>
      </c>
      <c r="O43">
        <f t="shared" si="20"/>
        <v>0</v>
      </c>
      <c r="P43">
        <f t="shared" si="10"/>
        <v>0</v>
      </c>
      <c r="Q43">
        <f t="shared" si="11"/>
        <v>0</v>
      </c>
      <c r="R43">
        <f t="shared" si="12"/>
        <v>0</v>
      </c>
    </row>
    <row r="44" spans="1:18">
      <c r="A44" s="1">
        <v>39739</v>
      </c>
      <c r="B44" t="s">
        <v>7</v>
      </c>
      <c r="C44">
        <v>1</v>
      </c>
      <c r="D44" s="2">
        <v>0.65625</v>
      </c>
      <c r="E44" s="2">
        <v>0.6875</v>
      </c>
      <c r="F44" s="34">
        <f t="shared" si="13"/>
        <v>1.5</v>
      </c>
      <c r="I44">
        <f t="shared" si="14"/>
        <v>0</v>
      </c>
      <c r="J44">
        <f t="shared" si="15"/>
        <v>1.5</v>
      </c>
      <c r="K44">
        <f t="shared" si="16"/>
        <v>0</v>
      </c>
      <c r="L44">
        <f t="shared" si="17"/>
        <v>0</v>
      </c>
      <c r="M44">
        <f t="shared" si="18"/>
        <v>0</v>
      </c>
      <c r="N44">
        <f t="shared" si="19"/>
        <v>0</v>
      </c>
      <c r="O44">
        <f t="shared" si="20"/>
        <v>0</v>
      </c>
      <c r="P44">
        <f t="shared" si="10"/>
        <v>0</v>
      </c>
      <c r="Q44">
        <f t="shared" si="11"/>
        <v>0</v>
      </c>
      <c r="R44">
        <f t="shared" si="12"/>
        <v>0</v>
      </c>
    </row>
    <row r="45" spans="1:18">
      <c r="A45" s="1">
        <v>39740</v>
      </c>
      <c r="B45" t="s">
        <v>8</v>
      </c>
      <c r="C45">
        <v>8</v>
      </c>
      <c r="D45" s="2">
        <v>0.47916666666666669</v>
      </c>
      <c r="E45" s="2">
        <v>0.52083333333333337</v>
      </c>
      <c r="F45" s="34">
        <f t="shared" si="13"/>
        <v>16.000000000000007</v>
      </c>
      <c r="I45">
        <f t="shared" si="14"/>
        <v>0</v>
      </c>
      <c r="J45">
        <f t="shared" si="15"/>
        <v>0</v>
      </c>
      <c r="K45">
        <f t="shared" si="16"/>
        <v>16.000000000000007</v>
      </c>
      <c r="L45">
        <f t="shared" si="17"/>
        <v>0</v>
      </c>
      <c r="M45">
        <f t="shared" si="18"/>
        <v>0</v>
      </c>
      <c r="N45">
        <f t="shared" si="19"/>
        <v>0</v>
      </c>
      <c r="O45">
        <f t="shared" si="20"/>
        <v>0</v>
      </c>
      <c r="P45">
        <f t="shared" si="10"/>
        <v>0</v>
      </c>
      <c r="Q45">
        <f t="shared" si="11"/>
        <v>0</v>
      </c>
      <c r="R45">
        <f t="shared" si="12"/>
        <v>0</v>
      </c>
    </row>
    <row r="46" spans="1:18">
      <c r="A46" s="1">
        <v>39741</v>
      </c>
      <c r="B46" t="s">
        <v>8</v>
      </c>
      <c r="C46">
        <v>5</v>
      </c>
      <c r="D46" s="2">
        <v>0.64583333333333337</v>
      </c>
      <c r="E46" s="2">
        <v>0.66666666666666663</v>
      </c>
      <c r="F46" s="34">
        <f t="shared" si="13"/>
        <v>4.9999999999999822</v>
      </c>
      <c r="I46">
        <f t="shared" si="14"/>
        <v>0</v>
      </c>
      <c r="J46">
        <f t="shared" si="15"/>
        <v>0</v>
      </c>
      <c r="K46">
        <f t="shared" si="16"/>
        <v>4.9999999999999822</v>
      </c>
      <c r="L46">
        <f t="shared" si="17"/>
        <v>0</v>
      </c>
      <c r="M46">
        <f t="shared" si="18"/>
        <v>0</v>
      </c>
      <c r="N46">
        <f t="shared" si="19"/>
        <v>0</v>
      </c>
      <c r="O46">
        <f t="shared" si="20"/>
        <v>0</v>
      </c>
      <c r="P46">
        <f t="shared" si="10"/>
        <v>0</v>
      </c>
      <c r="Q46">
        <f t="shared" si="11"/>
        <v>0</v>
      </c>
      <c r="R46">
        <f t="shared" si="12"/>
        <v>0</v>
      </c>
    </row>
    <row r="47" spans="1:18">
      <c r="A47" s="1">
        <v>39741</v>
      </c>
      <c r="B47" t="s">
        <v>0</v>
      </c>
      <c r="C47">
        <v>8</v>
      </c>
      <c r="D47" s="2">
        <v>0.72916666666666663</v>
      </c>
      <c r="E47" s="2">
        <v>0.8125</v>
      </c>
      <c r="F47" s="34">
        <f t="shared" si="13"/>
        <v>32.000000000000014</v>
      </c>
      <c r="I47">
        <f t="shared" si="14"/>
        <v>32.000000000000014</v>
      </c>
      <c r="J47">
        <f t="shared" si="15"/>
        <v>0</v>
      </c>
      <c r="K47">
        <f t="shared" si="16"/>
        <v>0</v>
      </c>
      <c r="L47">
        <f t="shared" si="17"/>
        <v>0</v>
      </c>
      <c r="M47">
        <f t="shared" si="18"/>
        <v>0</v>
      </c>
      <c r="N47">
        <f t="shared" si="19"/>
        <v>0</v>
      </c>
      <c r="O47">
        <f t="shared" si="20"/>
        <v>0</v>
      </c>
      <c r="P47">
        <f t="shared" si="10"/>
        <v>0</v>
      </c>
      <c r="Q47">
        <f t="shared" si="11"/>
        <v>0</v>
      </c>
      <c r="R47">
        <f t="shared" si="12"/>
        <v>0</v>
      </c>
    </row>
    <row r="48" spans="1:18">
      <c r="A48" s="1">
        <v>39741</v>
      </c>
      <c r="B48" t="s">
        <v>7</v>
      </c>
      <c r="C48">
        <v>1</v>
      </c>
      <c r="D48" s="2">
        <v>0.875</v>
      </c>
      <c r="E48" s="2">
        <v>0.91666666666666663</v>
      </c>
      <c r="F48" s="34">
        <f t="shared" si="13"/>
        <v>1.9999999999999982</v>
      </c>
      <c r="I48">
        <f t="shared" si="14"/>
        <v>0</v>
      </c>
      <c r="J48">
        <f t="shared" si="15"/>
        <v>1.9999999999999982</v>
      </c>
      <c r="K48">
        <f t="shared" si="16"/>
        <v>0</v>
      </c>
      <c r="L48">
        <f t="shared" si="17"/>
        <v>0</v>
      </c>
      <c r="M48">
        <f t="shared" si="18"/>
        <v>0</v>
      </c>
      <c r="N48">
        <f t="shared" si="19"/>
        <v>0</v>
      </c>
      <c r="O48">
        <f t="shared" si="20"/>
        <v>0</v>
      </c>
      <c r="P48">
        <f t="shared" si="10"/>
        <v>0</v>
      </c>
      <c r="Q48">
        <f t="shared" si="11"/>
        <v>0</v>
      </c>
      <c r="R48">
        <f t="shared" si="12"/>
        <v>0</v>
      </c>
    </row>
    <row r="49" spans="1:18">
      <c r="A49" s="1">
        <v>39741</v>
      </c>
      <c r="B49" t="s">
        <v>8</v>
      </c>
      <c r="C49">
        <v>5</v>
      </c>
      <c r="D49" s="2">
        <v>0.875</v>
      </c>
      <c r="E49" s="2">
        <v>0.91666666666666663</v>
      </c>
      <c r="F49" s="34">
        <f t="shared" si="13"/>
        <v>9.9999999999999911</v>
      </c>
      <c r="I49">
        <f t="shared" si="14"/>
        <v>0</v>
      </c>
      <c r="J49">
        <f t="shared" si="15"/>
        <v>0</v>
      </c>
      <c r="K49">
        <f t="shared" si="16"/>
        <v>9.9999999999999911</v>
      </c>
      <c r="L49">
        <f t="shared" si="17"/>
        <v>0</v>
      </c>
      <c r="M49">
        <f t="shared" si="18"/>
        <v>0</v>
      </c>
      <c r="N49">
        <f t="shared" si="19"/>
        <v>0</v>
      </c>
      <c r="O49">
        <f t="shared" si="20"/>
        <v>0</v>
      </c>
      <c r="P49">
        <f t="shared" si="10"/>
        <v>0</v>
      </c>
      <c r="Q49">
        <f t="shared" si="11"/>
        <v>0</v>
      </c>
      <c r="R49">
        <f t="shared" si="12"/>
        <v>0</v>
      </c>
    </row>
    <row r="50" spans="1:18">
      <c r="A50" s="1">
        <v>39741</v>
      </c>
      <c r="B50" t="s">
        <v>8</v>
      </c>
      <c r="C50">
        <v>1</v>
      </c>
      <c r="D50" s="2">
        <v>0.88541666666666663</v>
      </c>
      <c r="E50" s="2">
        <v>0.91666666666666663</v>
      </c>
      <c r="F50" s="34">
        <f t="shared" si="13"/>
        <v>1.5</v>
      </c>
      <c r="I50">
        <f t="shared" si="14"/>
        <v>0</v>
      </c>
      <c r="J50">
        <f t="shared" si="15"/>
        <v>0</v>
      </c>
      <c r="K50">
        <f t="shared" si="16"/>
        <v>1.5</v>
      </c>
      <c r="L50">
        <f t="shared" si="17"/>
        <v>0</v>
      </c>
      <c r="M50">
        <f t="shared" si="18"/>
        <v>0</v>
      </c>
      <c r="N50">
        <f t="shared" si="19"/>
        <v>0</v>
      </c>
      <c r="O50">
        <f t="shared" si="20"/>
        <v>0</v>
      </c>
      <c r="P50">
        <f t="shared" si="10"/>
        <v>0</v>
      </c>
      <c r="Q50">
        <f t="shared" si="11"/>
        <v>0</v>
      </c>
      <c r="R50">
        <f t="shared" si="12"/>
        <v>0</v>
      </c>
    </row>
    <row r="51" spans="1:18">
      <c r="A51" s="1">
        <v>39742</v>
      </c>
      <c r="B51" t="s">
        <v>7</v>
      </c>
      <c r="C51">
        <v>4</v>
      </c>
      <c r="D51" s="2">
        <v>0.72916666666666663</v>
      </c>
      <c r="E51" s="2">
        <v>0.77083333333333337</v>
      </c>
      <c r="F51" s="34">
        <f t="shared" si="13"/>
        <v>8.0000000000000142</v>
      </c>
      <c r="I51">
        <f t="shared" si="14"/>
        <v>0</v>
      </c>
      <c r="J51">
        <f t="shared" si="15"/>
        <v>8.0000000000000142</v>
      </c>
      <c r="K51">
        <f t="shared" si="16"/>
        <v>0</v>
      </c>
      <c r="L51">
        <f t="shared" si="17"/>
        <v>0</v>
      </c>
      <c r="M51">
        <f t="shared" si="18"/>
        <v>0</v>
      </c>
      <c r="N51">
        <f t="shared" si="19"/>
        <v>0</v>
      </c>
      <c r="O51">
        <f t="shared" si="20"/>
        <v>0</v>
      </c>
      <c r="P51">
        <f t="shared" si="10"/>
        <v>0</v>
      </c>
      <c r="Q51">
        <f t="shared" si="11"/>
        <v>0</v>
      </c>
      <c r="R51">
        <f t="shared" si="12"/>
        <v>0</v>
      </c>
    </row>
    <row r="52" spans="1:18">
      <c r="A52" s="1">
        <v>39742</v>
      </c>
      <c r="B52" t="s">
        <v>0</v>
      </c>
      <c r="C52">
        <v>8</v>
      </c>
      <c r="D52" s="2">
        <v>0.77083333333333337</v>
      </c>
      <c r="E52" s="2">
        <v>0.8125</v>
      </c>
      <c r="F52" s="34">
        <f t="shared" si="13"/>
        <v>15.999999999999986</v>
      </c>
      <c r="I52">
        <f t="shared" si="14"/>
        <v>15.999999999999986</v>
      </c>
      <c r="J52">
        <f t="shared" si="15"/>
        <v>0</v>
      </c>
      <c r="K52">
        <f t="shared" si="16"/>
        <v>0</v>
      </c>
      <c r="L52">
        <f t="shared" si="17"/>
        <v>0</v>
      </c>
      <c r="M52">
        <f t="shared" si="18"/>
        <v>0</v>
      </c>
      <c r="N52">
        <f t="shared" si="19"/>
        <v>0</v>
      </c>
      <c r="O52">
        <f t="shared" si="20"/>
        <v>0</v>
      </c>
      <c r="P52">
        <f t="shared" si="10"/>
        <v>0</v>
      </c>
      <c r="Q52">
        <f t="shared" si="11"/>
        <v>0</v>
      </c>
      <c r="R52">
        <f t="shared" si="12"/>
        <v>0</v>
      </c>
    </row>
    <row r="53" spans="1:18">
      <c r="A53" s="1">
        <v>39742</v>
      </c>
      <c r="B53" t="s">
        <v>8</v>
      </c>
      <c r="C53">
        <v>8</v>
      </c>
      <c r="D53" s="2">
        <v>0.83333333333333337</v>
      </c>
      <c r="E53" s="2">
        <v>0.875</v>
      </c>
      <c r="F53" s="34">
        <f t="shared" si="13"/>
        <v>15.999999999999986</v>
      </c>
      <c r="I53">
        <f t="shared" si="14"/>
        <v>0</v>
      </c>
      <c r="J53">
        <f t="shared" si="15"/>
        <v>0</v>
      </c>
      <c r="K53">
        <f t="shared" si="16"/>
        <v>15.999999999999986</v>
      </c>
      <c r="L53">
        <f t="shared" si="17"/>
        <v>0</v>
      </c>
      <c r="M53">
        <f t="shared" si="18"/>
        <v>0</v>
      </c>
      <c r="N53">
        <f t="shared" si="19"/>
        <v>0</v>
      </c>
      <c r="O53">
        <f t="shared" si="20"/>
        <v>0</v>
      </c>
      <c r="P53">
        <f t="shared" si="10"/>
        <v>0</v>
      </c>
      <c r="Q53">
        <f t="shared" si="11"/>
        <v>0</v>
      </c>
      <c r="R53">
        <f t="shared" si="12"/>
        <v>0</v>
      </c>
    </row>
    <row r="54" spans="1:18">
      <c r="A54" s="1">
        <v>39743</v>
      </c>
      <c r="B54" t="s">
        <v>8</v>
      </c>
      <c r="C54">
        <v>8</v>
      </c>
      <c r="D54" s="2">
        <v>0.3125</v>
      </c>
      <c r="E54" s="2">
        <v>0.35416666666666669</v>
      </c>
      <c r="F54" s="34">
        <f t="shared" si="13"/>
        <v>16.000000000000007</v>
      </c>
      <c r="I54">
        <f t="shared" si="14"/>
        <v>0</v>
      </c>
      <c r="J54">
        <f t="shared" si="15"/>
        <v>0</v>
      </c>
      <c r="K54">
        <f t="shared" si="16"/>
        <v>16.000000000000007</v>
      </c>
      <c r="L54">
        <f t="shared" si="17"/>
        <v>0</v>
      </c>
      <c r="M54">
        <f t="shared" si="18"/>
        <v>0</v>
      </c>
      <c r="N54">
        <f t="shared" si="19"/>
        <v>0</v>
      </c>
      <c r="O54">
        <f t="shared" si="20"/>
        <v>0</v>
      </c>
      <c r="P54">
        <f t="shared" si="10"/>
        <v>0</v>
      </c>
      <c r="Q54">
        <f t="shared" si="11"/>
        <v>0</v>
      </c>
      <c r="R54">
        <f t="shared" si="12"/>
        <v>0</v>
      </c>
    </row>
    <row r="55" spans="1:18">
      <c r="A55" s="1">
        <v>39743</v>
      </c>
      <c r="B55" t="s">
        <v>7</v>
      </c>
      <c r="C55">
        <v>2</v>
      </c>
      <c r="D55" s="2">
        <v>0.84375</v>
      </c>
      <c r="E55" s="2">
        <v>0.88541666666666663</v>
      </c>
      <c r="F55" s="34">
        <f t="shared" si="13"/>
        <v>3.9999999999999964</v>
      </c>
      <c r="I55">
        <f t="shared" si="14"/>
        <v>0</v>
      </c>
      <c r="J55">
        <f t="shared" si="15"/>
        <v>3.9999999999999964</v>
      </c>
      <c r="K55">
        <f t="shared" si="16"/>
        <v>0</v>
      </c>
      <c r="L55">
        <f t="shared" si="17"/>
        <v>0</v>
      </c>
      <c r="M55">
        <f t="shared" si="18"/>
        <v>0</v>
      </c>
      <c r="N55">
        <f t="shared" si="19"/>
        <v>0</v>
      </c>
      <c r="O55">
        <f t="shared" si="20"/>
        <v>0</v>
      </c>
      <c r="P55">
        <f t="shared" si="10"/>
        <v>0</v>
      </c>
      <c r="Q55">
        <f t="shared" si="11"/>
        <v>0</v>
      </c>
      <c r="R55">
        <f t="shared" si="12"/>
        <v>0</v>
      </c>
    </row>
    <row r="56" spans="1:18">
      <c r="A56" s="1">
        <v>39744</v>
      </c>
      <c r="B56" t="s">
        <v>7</v>
      </c>
      <c r="C56">
        <v>8</v>
      </c>
      <c r="D56" s="2">
        <v>0.75</v>
      </c>
      <c r="E56" s="2">
        <v>0.79166666666666663</v>
      </c>
      <c r="F56" s="34">
        <f t="shared" si="13"/>
        <v>15.999999999999986</v>
      </c>
      <c r="I56">
        <f t="shared" si="14"/>
        <v>0</v>
      </c>
      <c r="J56">
        <f t="shared" si="15"/>
        <v>15.999999999999986</v>
      </c>
      <c r="K56">
        <f t="shared" si="16"/>
        <v>0</v>
      </c>
      <c r="L56">
        <f t="shared" si="17"/>
        <v>0</v>
      </c>
      <c r="M56">
        <f t="shared" si="18"/>
        <v>0</v>
      </c>
      <c r="N56">
        <f t="shared" si="19"/>
        <v>0</v>
      </c>
      <c r="O56">
        <f t="shared" si="20"/>
        <v>0</v>
      </c>
      <c r="P56">
        <f t="shared" si="10"/>
        <v>0</v>
      </c>
      <c r="Q56">
        <f t="shared" si="11"/>
        <v>0</v>
      </c>
      <c r="R56">
        <f t="shared" si="12"/>
        <v>0</v>
      </c>
    </row>
    <row r="57" spans="1:18">
      <c r="A57" s="1">
        <v>39744</v>
      </c>
      <c r="B57" t="s">
        <v>8</v>
      </c>
      <c r="C57">
        <v>8</v>
      </c>
      <c r="D57" s="2">
        <v>0.83333333333333337</v>
      </c>
      <c r="E57" s="2">
        <v>0.875</v>
      </c>
      <c r="F57" s="34">
        <f t="shared" si="13"/>
        <v>15.999999999999986</v>
      </c>
      <c r="I57">
        <f t="shared" si="14"/>
        <v>0</v>
      </c>
      <c r="J57">
        <f t="shared" si="15"/>
        <v>0</v>
      </c>
      <c r="K57">
        <f t="shared" si="16"/>
        <v>15.999999999999986</v>
      </c>
      <c r="L57">
        <f t="shared" si="17"/>
        <v>0</v>
      </c>
      <c r="M57">
        <f t="shared" si="18"/>
        <v>0</v>
      </c>
      <c r="N57">
        <f t="shared" si="19"/>
        <v>0</v>
      </c>
      <c r="O57">
        <f t="shared" si="20"/>
        <v>0</v>
      </c>
      <c r="P57">
        <f t="shared" si="10"/>
        <v>0</v>
      </c>
      <c r="Q57">
        <f t="shared" si="11"/>
        <v>0</v>
      </c>
      <c r="R57">
        <f t="shared" si="12"/>
        <v>0</v>
      </c>
    </row>
    <row r="58" spans="1:18">
      <c r="A58" s="1">
        <v>39745</v>
      </c>
      <c r="B58" t="s">
        <v>8</v>
      </c>
      <c r="C58">
        <v>8</v>
      </c>
      <c r="D58" s="2">
        <v>0.30208333333333331</v>
      </c>
      <c r="E58" s="2">
        <v>0.34375</v>
      </c>
      <c r="F58" s="34">
        <f t="shared" si="13"/>
        <v>16.000000000000007</v>
      </c>
      <c r="I58">
        <f t="shared" si="14"/>
        <v>0</v>
      </c>
      <c r="J58">
        <f t="shared" si="15"/>
        <v>0</v>
      </c>
      <c r="K58">
        <f t="shared" si="16"/>
        <v>16.000000000000007</v>
      </c>
      <c r="L58">
        <f t="shared" si="17"/>
        <v>0</v>
      </c>
      <c r="M58">
        <f t="shared" si="18"/>
        <v>0</v>
      </c>
      <c r="N58">
        <f t="shared" si="19"/>
        <v>0</v>
      </c>
      <c r="O58">
        <f t="shared" si="20"/>
        <v>0</v>
      </c>
      <c r="P58">
        <f t="shared" si="10"/>
        <v>0</v>
      </c>
      <c r="Q58">
        <f t="shared" si="11"/>
        <v>0</v>
      </c>
      <c r="R58">
        <f t="shared" si="12"/>
        <v>0</v>
      </c>
    </row>
    <row r="59" spans="1:18">
      <c r="A59" s="1">
        <v>39745</v>
      </c>
      <c r="B59" t="s">
        <v>7</v>
      </c>
      <c r="C59">
        <v>2</v>
      </c>
      <c r="D59" s="2">
        <v>0.6875</v>
      </c>
      <c r="E59" s="2">
        <v>0.72916666666666663</v>
      </c>
      <c r="F59" s="34">
        <f t="shared" si="13"/>
        <v>3.9999999999999964</v>
      </c>
      <c r="I59">
        <f t="shared" si="14"/>
        <v>0</v>
      </c>
      <c r="J59">
        <f t="shared" si="15"/>
        <v>3.9999999999999964</v>
      </c>
      <c r="K59">
        <f t="shared" si="16"/>
        <v>0</v>
      </c>
      <c r="L59">
        <f t="shared" si="17"/>
        <v>0</v>
      </c>
      <c r="M59">
        <f t="shared" si="18"/>
        <v>0</v>
      </c>
      <c r="N59">
        <f t="shared" si="19"/>
        <v>0</v>
      </c>
      <c r="O59">
        <f t="shared" si="20"/>
        <v>0</v>
      </c>
      <c r="P59">
        <f t="shared" si="10"/>
        <v>0</v>
      </c>
      <c r="Q59">
        <f t="shared" si="11"/>
        <v>0</v>
      </c>
      <c r="R59">
        <f t="shared" si="12"/>
        <v>0</v>
      </c>
    </row>
    <row r="60" spans="1:18">
      <c r="A60" s="1">
        <v>39745</v>
      </c>
      <c r="B60" t="s">
        <v>0</v>
      </c>
      <c r="C60">
        <v>8</v>
      </c>
      <c r="D60" s="2">
        <v>0.72916666666666663</v>
      </c>
      <c r="E60" s="2">
        <v>0.8125</v>
      </c>
      <c r="F60" s="34">
        <f t="shared" si="13"/>
        <v>32.000000000000014</v>
      </c>
      <c r="I60">
        <f t="shared" si="14"/>
        <v>32.000000000000014</v>
      </c>
      <c r="J60">
        <f t="shared" si="15"/>
        <v>0</v>
      </c>
      <c r="K60">
        <f t="shared" si="16"/>
        <v>0</v>
      </c>
      <c r="L60">
        <f t="shared" si="17"/>
        <v>0</v>
      </c>
      <c r="M60">
        <f t="shared" si="18"/>
        <v>0</v>
      </c>
      <c r="N60">
        <f t="shared" si="19"/>
        <v>0</v>
      </c>
      <c r="O60">
        <f t="shared" si="20"/>
        <v>0</v>
      </c>
      <c r="P60">
        <f t="shared" si="10"/>
        <v>0</v>
      </c>
      <c r="Q60">
        <f t="shared" si="11"/>
        <v>0</v>
      </c>
      <c r="R60">
        <f t="shared" si="12"/>
        <v>0</v>
      </c>
    </row>
    <row r="61" spans="1:18">
      <c r="A61" s="1">
        <v>39746</v>
      </c>
      <c r="B61" t="s">
        <v>8</v>
      </c>
      <c r="C61">
        <v>6</v>
      </c>
      <c r="D61" s="2">
        <v>0.64583333333333337</v>
      </c>
      <c r="E61" s="2">
        <v>0.6875</v>
      </c>
      <c r="F61" s="34">
        <f t="shared" si="13"/>
        <v>11.999999999999989</v>
      </c>
      <c r="I61">
        <f t="shared" si="14"/>
        <v>0</v>
      </c>
      <c r="J61">
        <f t="shared" si="15"/>
        <v>0</v>
      </c>
      <c r="K61">
        <f t="shared" si="16"/>
        <v>11.999999999999989</v>
      </c>
      <c r="L61">
        <f t="shared" si="17"/>
        <v>0</v>
      </c>
      <c r="M61">
        <f t="shared" si="18"/>
        <v>0</v>
      </c>
      <c r="N61">
        <f t="shared" si="19"/>
        <v>0</v>
      </c>
      <c r="O61">
        <f t="shared" si="20"/>
        <v>0</v>
      </c>
      <c r="P61">
        <f t="shared" si="10"/>
        <v>0</v>
      </c>
      <c r="Q61">
        <f t="shared" si="11"/>
        <v>0</v>
      </c>
      <c r="R61">
        <f t="shared" si="12"/>
        <v>0</v>
      </c>
    </row>
    <row r="62" spans="1:18">
      <c r="A62" s="1">
        <v>39747</v>
      </c>
      <c r="B62" t="s">
        <v>8</v>
      </c>
      <c r="C62">
        <v>9</v>
      </c>
      <c r="D62" s="2">
        <v>0.47916666666666669</v>
      </c>
      <c r="E62" s="2">
        <v>0.52083333333333337</v>
      </c>
      <c r="F62" s="34">
        <f t="shared" si="13"/>
        <v>18.000000000000007</v>
      </c>
      <c r="I62">
        <f t="shared" si="14"/>
        <v>0</v>
      </c>
      <c r="J62">
        <f t="shared" si="15"/>
        <v>0</v>
      </c>
      <c r="K62">
        <f t="shared" si="16"/>
        <v>18.000000000000007</v>
      </c>
      <c r="L62">
        <f t="shared" si="17"/>
        <v>0</v>
      </c>
      <c r="M62">
        <f t="shared" si="18"/>
        <v>0</v>
      </c>
      <c r="N62">
        <f t="shared" si="19"/>
        <v>0</v>
      </c>
      <c r="O62">
        <f t="shared" si="20"/>
        <v>0</v>
      </c>
      <c r="P62">
        <f t="shared" si="10"/>
        <v>0</v>
      </c>
      <c r="Q62">
        <f t="shared" si="11"/>
        <v>0</v>
      </c>
      <c r="R62">
        <f t="shared" si="12"/>
        <v>0</v>
      </c>
    </row>
    <row r="63" spans="1:18">
      <c r="A63" s="1">
        <v>39748</v>
      </c>
      <c r="B63" t="s">
        <v>8</v>
      </c>
      <c r="C63">
        <v>8</v>
      </c>
      <c r="D63" s="2">
        <v>0.30208333333333331</v>
      </c>
      <c r="E63" s="2">
        <v>0.34375</v>
      </c>
      <c r="F63" s="34">
        <f t="shared" si="13"/>
        <v>16.000000000000007</v>
      </c>
      <c r="I63">
        <f t="shared" si="14"/>
        <v>0</v>
      </c>
      <c r="J63">
        <f t="shared" si="15"/>
        <v>0</v>
      </c>
      <c r="K63">
        <f t="shared" si="16"/>
        <v>16.000000000000007</v>
      </c>
      <c r="L63">
        <f t="shared" si="17"/>
        <v>0</v>
      </c>
      <c r="M63">
        <f t="shared" si="18"/>
        <v>0</v>
      </c>
      <c r="N63">
        <f t="shared" si="19"/>
        <v>0</v>
      </c>
      <c r="O63">
        <f t="shared" si="20"/>
        <v>0</v>
      </c>
      <c r="P63">
        <f t="shared" si="10"/>
        <v>0</v>
      </c>
      <c r="Q63">
        <f t="shared" si="11"/>
        <v>0</v>
      </c>
      <c r="R63">
        <f t="shared" si="12"/>
        <v>0</v>
      </c>
    </row>
    <row r="64" spans="1:18">
      <c r="A64" s="1">
        <v>39748</v>
      </c>
      <c r="B64" t="s">
        <v>8</v>
      </c>
      <c r="C64">
        <v>5</v>
      </c>
      <c r="D64" s="2">
        <v>0.65625</v>
      </c>
      <c r="E64" s="2">
        <v>0.6875</v>
      </c>
      <c r="F64" s="34">
        <f t="shared" si="13"/>
        <v>7.5</v>
      </c>
      <c r="I64">
        <f t="shared" si="14"/>
        <v>0</v>
      </c>
      <c r="J64">
        <f t="shared" si="15"/>
        <v>0</v>
      </c>
      <c r="K64">
        <f t="shared" si="16"/>
        <v>7.5</v>
      </c>
      <c r="L64">
        <f t="shared" si="17"/>
        <v>0</v>
      </c>
      <c r="M64">
        <f t="shared" si="18"/>
        <v>0</v>
      </c>
      <c r="N64">
        <f t="shared" si="19"/>
        <v>0</v>
      </c>
      <c r="O64">
        <f t="shared" si="20"/>
        <v>0</v>
      </c>
      <c r="P64">
        <f t="shared" si="10"/>
        <v>0</v>
      </c>
      <c r="Q64">
        <f t="shared" si="11"/>
        <v>0</v>
      </c>
      <c r="R64">
        <f t="shared" si="12"/>
        <v>0</v>
      </c>
    </row>
    <row r="65" spans="1:18">
      <c r="A65" s="1">
        <v>39748</v>
      </c>
      <c r="B65" t="s">
        <v>0</v>
      </c>
      <c r="C65">
        <v>8</v>
      </c>
      <c r="D65" s="2">
        <v>0.72916666666666663</v>
      </c>
      <c r="E65" s="2">
        <v>0.8125</v>
      </c>
      <c r="F65" s="34">
        <f t="shared" si="13"/>
        <v>32.000000000000014</v>
      </c>
      <c r="I65">
        <f t="shared" si="14"/>
        <v>32.000000000000014</v>
      </c>
      <c r="J65">
        <f t="shared" si="15"/>
        <v>0</v>
      </c>
      <c r="K65">
        <f t="shared" si="16"/>
        <v>0</v>
      </c>
      <c r="L65">
        <f t="shared" si="17"/>
        <v>0</v>
      </c>
      <c r="M65">
        <f t="shared" si="18"/>
        <v>0</v>
      </c>
      <c r="N65">
        <f t="shared" si="19"/>
        <v>0</v>
      </c>
      <c r="O65">
        <f t="shared" si="20"/>
        <v>0</v>
      </c>
      <c r="P65">
        <f t="shared" si="10"/>
        <v>0</v>
      </c>
      <c r="Q65">
        <f t="shared" si="11"/>
        <v>0</v>
      </c>
      <c r="R65">
        <f t="shared" si="12"/>
        <v>0</v>
      </c>
    </row>
    <row r="66" spans="1:18">
      <c r="A66" s="1">
        <v>39748</v>
      </c>
      <c r="B66" t="s">
        <v>7</v>
      </c>
      <c r="C66">
        <v>1</v>
      </c>
      <c r="D66" s="2">
        <v>0.83333333333333337</v>
      </c>
      <c r="E66" s="2">
        <v>0.875</v>
      </c>
      <c r="F66" s="34">
        <f t="shared" si="13"/>
        <v>1.9999999999999982</v>
      </c>
      <c r="I66">
        <f t="shared" si="14"/>
        <v>0</v>
      </c>
      <c r="J66">
        <f t="shared" si="15"/>
        <v>1.9999999999999982</v>
      </c>
      <c r="K66">
        <f t="shared" si="16"/>
        <v>0</v>
      </c>
      <c r="L66">
        <f t="shared" si="17"/>
        <v>0</v>
      </c>
      <c r="M66">
        <f t="shared" si="18"/>
        <v>0</v>
      </c>
      <c r="N66">
        <f t="shared" si="19"/>
        <v>0</v>
      </c>
      <c r="O66">
        <f t="shared" si="20"/>
        <v>0</v>
      </c>
      <c r="P66">
        <f t="shared" si="10"/>
        <v>0</v>
      </c>
      <c r="Q66">
        <f t="shared" si="11"/>
        <v>0</v>
      </c>
      <c r="R66">
        <f t="shared" si="12"/>
        <v>0</v>
      </c>
    </row>
    <row r="67" spans="1:18">
      <c r="A67" s="1">
        <v>39749</v>
      </c>
      <c r="B67" t="s">
        <v>8</v>
      </c>
      <c r="C67">
        <v>8</v>
      </c>
      <c r="D67" s="2">
        <v>0.29166666666666669</v>
      </c>
      <c r="E67" s="2">
        <v>0.33333333333333331</v>
      </c>
      <c r="F67" s="34">
        <f t="shared" si="13"/>
        <v>15.999999999999986</v>
      </c>
      <c r="I67">
        <f t="shared" si="14"/>
        <v>0</v>
      </c>
      <c r="J67">
        <f t="shared" si="15"/>
        <v>0</v>
      </c>
      <c r="K67">
        <f t="shared" si="16"/>
        <v>15.999999999999986</v>
      </c>
      <c r="L67">
        <f t="shared" si="17"/>
        <v>0</v>
      </c>
      <c r="M67">
        <f t="shared" si="18"/>
        <v>0</v>
      </c>
      <c r="N67">
        <f t="shared" si="19"/>
        <v>0</v>
      </c>
      <c r="O67">
        <f t="shared" si="20"/>
        <v>0</v>
      </c>
      <c r="P67">
        <f t="shared" si="10"/>
        <v>0</v>
      </c>
      <c r="Q67">
        <f t="shared" si="11"/>
        <v>0</v>
      </c>
      <c r="R67">
        <f t="shared" si="12"/>
        <v>0</v>
      </c>
    </row>
    <row r="68" spans="1:18">
      <c r="A68" s="1">
        <v>39749</v>
      </c>
      <c r="B68" t="s">
        <v>7</v>
      </c>
      <c r="C68">
        <v>1</v>
      </c>
      <c r="D68" s="2">
        <v>0.70833333333333337</v>
      </c>
      <c r="E68" s="2">
        <v>0.75</v>
      </c>
      <c r="F68" s="34">
        <f t="shared" si="13"/>
        <v>1.9999999999999982</v>
      </c>
      <c r="I68">
        <f t="shared" si="14"/>
        <v>0</v>
      </c>
      <c r="J68">
        <f t="shared" si="15"/>
        <v>1.9999999999999982</v>
      </c>
      <c r="K68">
        <f t="shared" si="16"/>
        <v>0</v>
      </c>
      <c r="L68">
        <f t="shared" si="17"/>
        <v>0</v>
      </c>
      <c r="M68">
        <f t="shared" si="18"/>
        <v>0</v>
      </c>
      <c r="N68">
        <f t="shared" si="19"/>
        <v>0</v>
      </c>
      <c r="O68">
        <f t="shared" si="20"/>
        <v>0</v>
      </c>
      <c r="P68">
        <f t="shared" si="10"/>
        <v>0</v>
      </c>
      <c r="Q68">
        <f t="shared" si="11"/>
        <v>0</v>
      </c>
      <c r="R68">
        <f t="shared" si="12"/>
        <v>0</v>
      </c>
    </row>
    <row r="69" spans="1:18">
      <c r="A69" s="1">
        <v>39749</v>
      </c>
      <c r="B69" t="s">
        <v>0</v>
      </c>
      <c r="C69">
        <v>8</v>
      </c>
      <c r="D69" s="2">
        <v>0.77083333333333337</v>
      </c>
      <c r="E69" s="2">
        <v>0.8125</v>
      </c>
      <c r="F69" s="34">
        <f t="shared" si="13"/>
        <v>15.999999999999986</v>
      </c>
      <c r="I69">
        <f t="shared" si="14"/>
        <v>15.999999999999986</v>
      </c>
      <c r="J69">
        <f t="shared" si="15"/>
        <v>0</v>
      </c>
      <c r="K69">
        <f t="shared" si="16"/>
        <v>0</v>
      </c>
      <c r="L69">
        <f t="shared" si="17"/>
        <v>0</v>
      </c>
      <c r="M69">
        <f t="shared" si="18"/>
        <v>0</v>
      </c>
      <c r="N69">
        <f t="shared" si="19"/>
        <v>0</v>
      </c>
      <c r="O69">
        <f t="shared" si="20"/>
        <v>0</v>
      </c>
      <c r="P69">
        <f t="shared" si="10"/>
        <v>0</v>
      </c>
      <c r="Q69">
        <f t="shared" si="11"/>
        <v>0</v>
      </c>
      <c r="R69">
        <f t="shared" si="12"/>
        <v>0</v>
      </c>
    </row>
    <row r="70" spans="1:18">
      <c r="A70" s="1">
        <v>39749</v>
      </c>
      <c r="B70" t="s">
        <v>8</v>
      </c>
      <c r="C70">
        <v>8</v>
      </c>
      <c r="D70" s="2">
        <v>0.83333333333333337</v>
      </c>
      <c r="E70" s="2">
        <v>0.875</v>
      </c>
      <c r="F70" s="34">
        <f t="shared" si="13"/>
        <v>15.999999999999986</v>
      </c>
      <c r="I70">
        <f t="shared" si="14"/>
        <v>0</v>
      </c>
      <c r="J70">
        <f t="shared" si="15"/>
        <v>0</v>
      </c>
      <c r="K70">
        <f t="shared" si="16"/>
        <v>15.999999999999986</v>
      </c>
      <c r="L70">
        <f t="shared" si="17"/>
        <v>0</v>
      </c>
      <c r="M70">
        <f t="shared" si="18"/>
        <v>0</v>
      </c>
      <c r="N70">
        <f t="shared" si="19"/>
        <v>0</v>
      </c>
      <c r="O70">
        <f t="shared" si="20"/>
        <v>0</v>
      </c>
      <c r="P70">
        <f t="shared" si="10"/>
        <v>0</v>
      </c>
      <c r="Q70">
        <f t="shared" si="11"/>
        <v>0</v>
      </c>
      <c r="R70">
        <f t="shared" si="12"/>
        <v>0</v>
      </c>
    </row>
    <row r="71" spans="1:18">
      <c r="A71" s="1">
        <v>39750</v>
      </c>
      <c r="B71" t="s">
        <v>8</v>
      </c>
      <c r="C71">
        <v>7</v>
      </c>
      <c r="D71" s="2">
        <v>0.30208333333333331</v>
      </c>
      <c r="E71" s="2">
        <v>0.34375</v>
      </c>
      <c r="F71" s="34">
        <f t="shared" si="13"/>
        <v>14.000000000000007</v>
      </c>
      <c r="I71">
        <f t="shared" si="14"/>
        <v>0</v>
      </c>
      <c r="J71">
        <f t="shared" si="15"/>
        <v>0</v>
      </c>
      <c r="K71">
        <f t="shared" si="16"/>
        <v>14.000000000000007</v>
      </c>
      <c r="L71">
        <f t="shared" si="17"/>
        <v>0</v>
      </c>
      <c r="M71">
        <f t="shared" si="18"/>
        <v>0</v>
      </c>
      <c r="N71">
        <f t="shared" si="19"/>
        <v>0</v>
      </c>
      <c r="O71">
        <f t="shared" si="20"/>
        <v>0</v>
      </c>
      <c r="P71">
        <f t="shared" si="10"/>
        <v>0</v>
      </c>
      <c r="Q71">
        <f t="shared" si="11"/>
        <v>0</v>
      </c>
      <c r="R71">
        <f t="shared" si="12"/>
        <v>0</v>
      </c>
    </row>
    <row r="72" spans="1:18">
      <c r="A72" s="1">
        <v>39751</v>
      </c>
      <c r="B72" t="s">
        <v>7</v>
      </c>
      <c r="C72">
        <v>8</v>
      </c>
      <c r="D72" s="2">
        <v>0.75</v>
      </c>
      <c r="E72" s="2">
        <v>0.79166666666666663</v>
      </c>
      <c r="F72" s="34">
        <f t="shared" si="13"/>
        <v>15.999999999999986</v>
      </c>
      <c r="I72">
        <f t="shared" si="14"/>
        <v>0</v>
      </c>
      <c r="J72">
        <f t="shared" si="15"/>
        <v>15.999999999999986</v>
      </c>
      <c r="K72">
        <f t="shared" si="16"/>
        <v>0</v>
      </c>
      <c r="L72">
        <f t="shared" si="17"/>
        <v>0</v>
      </c>
      <c r="M72">
        <f t="shared" si="18"/>
        <v>0</v>
      </c>
      <c r="N72">
        <f t="shared" si="19"/>
        <v>0</v>
      </c>
      <c r="O72">
        <f t="shared" si="20"/>
        <v>0</v>
      </c>
      <c r="P72">
        <f t="shared" si="10"/>
        <v>0</v>
      </c>
      <c r="Q72">
        <f t="shared" si="11"/>
        <v>0</v>
      </c>
      <c r="R72">
        <f t="shared" si="12"/>
        <v>0</v>
      </c>
    </row>
    <row r="73" spans="1:18">
      <c r="A73" s="1">
        <v>39752</v>
      </c>
      <c r="B73" t="s">
        <v>8</v>
      </c>
      <c r="C73">
        <v>8</v>
      </c>
      <c r="D73" s="2">
        <v>0.30208333333333331</v>
      </c>
      <c r="E73" s="2">
        <v>0.34375</v>
      </c>
      <c r="F73" s="34">
        <f t="shared" si="13"/>
        <v>16.000000000000007</v>
      </c>
      <c r="I73">
        <f t="shared" si="14"/>
        <v>0</v>
      </c>
      <c r="J73">
        <f t="shared" si="15"/>
        <v>0</v>
      </c>
      <c r="K73">
        <f t="shared" si="16"/>
        <v>16.000000000000007</v>
      </c>
      <c r="L73">
        <f t="shared" si="17"/>
        <v>0</v>
      </c>
      <c r="M73">
        <f t="shared" si="18"/>
        <v>0</v>
      </c>
      <c r="N73">
        <f t="shared" si="19"/>
        <v>0</v>
      </c>
      <c r="O73">
        <f t="shared" si="20"/>
        <v>0</v>
      </c>
      <c r="P73">
        <f t="shared" si="10"/>
        <v>0</v>
      </c>
      <c r="Q73">
        <f t="shared" si="11"/>
        <v>0</v>
      </c>
      <c r="R73">
        <f t="shared" si="12"/>
        <v>0</v>
      </c>
    </row>
    <row r="74" spans="1:18">
      <c r="A74" s="1">
        <v>39752</v>
      </c>
      <c r="B74" t="s">
        <v>7</v>
      </c>
      <c r="C74">
        <v>1</v>
      </c>
      <c r="D74" s="2">
        <v>0.375</v>
      </c>
      <c r="E74" s="2">
        <v>0.41666666666666669</v>
      </c>
      <c r="F74" s="34">
        <f t="shared" si="13"/>
        <v>2.0000000000000009</v>
      </c>
      <c r="I74">
        <f t="shared" si="14"/>
        <v>0</v>
      </c>
      <c r="J74">
        <f t="shared" si="15"/>
        <v>2.0000000000000009</v>
      </c>
      <c r="K74">
        <f t="shared" si="16"/>
        <v>0</v>
      </c>
      <c r="L74">
        <f t="shared" si="17"/>
        <v>0</v>
      </c>
      <c r="M74">
        <f t="shared" si="18"/>
        <v>0</v>
      </c>
      <c r="N74">
        <f t="shared" si="19"/>
        <v>0</v>
      </c>
      <c r="O74">
        <f t="shared" si="20"/>
        <v>0</v>
      </c>
      <c r="P74">
        <f t="shared" si="10"/>
        <v>0</v>
      </c>
      <c r="Q74">
        <f t="shared" si="11"/>
        <v>0</v>
      </c>
      <c r="R74">
        <f t="shared" si="12"/>
        <v>0</v>
      </c>
    </row>
    <row r="75" spans="1:18">
      <c r="A75" s="1">
        <v>39752</v>
      </c>
      <c r="B75" t="s">
        <v>0</v>
      </c>
      <c r="C75">
        <v>8</v>
      </c>
      <c r="D75" s="2">
        <v>0.72916666666666663</v>
      </c>
      <c r="E75" s="2">
        <v>0.8125</v>
      </c>
      <c r="F75" s="34">
        <f t="shared" si="13"/>
        <v>32.000000000000014</v>
      </c>
      <c r="I75">
        <f t="shared" si="14"/>
        <v>32.000000000000014</v>
      </c>
      <c r="J75">
        <f t="shared" si="15"/>
        <v>0</v>
      </c>
      <c r="K75">
        <f t="shared" si="16"/>
        <v>0</v>
      </c>
      <c r="L75">
        <f t="shared" si="17"/>
        <v>0</v>
      </c>
      <c r="M75">
        <f t="shared" si="18"/>
        <v>0</v>
      </c>
      <c r="N75">
        <f t="shared" si="19"/>
        <v>0</v>
      </c>
      <c r="O75">
        <f t="shared" si="20"/>
        <v>0</v>
      </c>
      <c r="P75">
        <f t="shared" si="10"/>
        <v>0</v>
      </c>
      <c r="Q75">
        <f t="shared" si="11"/>
        <v>0</v>
      </c>
      <c r="R75">
        <f t="shared" si="12"/>
        <v>0</v>
      </c>
    </row>
    <row r="76" spans="1:18">
      <c r="A76" s="1">
        <v>39752</v>
      </c>
      <c r="B76" t="s">
        <v>7</v>
      </c>
      <c r="C76">
        <v>1</v>
      </c>
      <c r="D76" s="2">
        <v>0.8125</v>
      </c>
      <c r="E76" s="2">
        <v>0.84375</v>
      </c>
      <c r="F76" s="34">
        <f t="shared" si="13"/>
        <v>1.5</v>
      </c>
      <c r="I76">
        <f t="shared" si="14"/>
        <v>0</v>
      </c>
      <c r="J76">
        <f t="shared" si="15"/>
        <v>1.5</v>
      </c>
      <c r="K76">
        <f t="shared" si="16"/>
        <v>0</v>
      </c>
      <c r="L76">
        <f t="shared" si="17"/>
        <v>0</v>
      </c>
      <c r="M76">
        <f t="shared" si="18"/>
        <v>0</v>
      </c>
      <c r="N76">
        <f t="shared" si="19"/>
        <v>0</v>
      </c>
      <c r="O76">
        <f t="shared" si="20"/>
        <v>0</v>
      </c>
      <c r="P76">
        <f t="shared" si="10"/>
        <v>0</v>
      </c>
      <c r="Q76">
        <f t="shared" si="11"/>
        <v>0</v>
      </c>
      <c r="R76">
        <f t="shared" si="12"/>
        <v>0</v>
      </c>
    </row>
    <row r="77" spans="1:18">
      <c r="A77" s="1">
        <v>39753</v>
      </c>
      <c r="B77" t="s">
        <v>7</v>
      </c>
      <c r="C77">
        <v>3</v>
      </c>
      <c r="D77" s="2">
        <v>0.45833333333333331</v>
      </c>
      <c r="E77" s="2">
        <v>0.5</v>
      </c>
      <c r="F77" s="34">
        <f t="shared" si="13"/>
        <v>6.0000000000000027</v>
      </c>
      <c r="I77">
        <f t="shared" si="14"/>
        <v>0</v>
      </c>
      <c r="J77">
        <f t="shared" si="15"/>
        <v>6.0000000000000027</v>
      </c>
      <c r="K77">
        <f t="shared" si="16"/>
        <v>0</v>
      </c>
      <c r="L77">
        <f t="shared" si="17"/>
        <v>0</v>
      </c>
      <c r="M77">
        <f t="shared" si="18"/>
        <v>0</v>
      </c>
      <c r="N77">
        <f t="shared" si="19"/>
        <v>0</v>
      </c>
      <c r="O77">
        <f t="shared" si="20"/>
        <v>0</v>
      </c>
      <c r="P77">
        <f t="shared" ref="P77:P140" si="21">IF(($B77=I$1),($F77),(0))</f>
        <v>0</v>
      </c>
      <c r="Q77">
        <f t="shared" ref="Q77:Q140" si="22">IF(($B77=J$1),($F77),(0))</f>
        <v>0</v>
      </c>
      <c r="R77">
        <f t="shared" ref="R77:R140" si="23">IF(($B77=K$1),($F77),(0))</f>
        <v>0</v>
      </c>
    </row>
    <row r="78" spans="1:18">
      <c r="A78" s="1">
        <v>39754</v>
      </c>
      <c r="B78" t="s">
        <v>7</v>
      </c>
      <c r="C78">
        <v>7</v>
      </c>
      <c r="D78" s="2">
        <v>0.39583333333333331</v>
      </c>
      <c r="E78" s="2">
        <v>0.4375</v>
      </c>
      <c r="F78" s="34">
        <f t="shared" si="13"/>
        <v>14.000000000000007</v>
      </c>
      <c r="I78">
        <f t="shared" si="14"/>
        <v>0</v>
      </c>
      <c r="J78">
        <f t="shared" si="15"/>
        <v>14.000000000000007</v>
      </c>
      <c r="K78">
        <f t="shared" si="16"/>
        <v>0</v>
      </c>
      <c r="L78">
        <f t="shared" si="17"/>
        <v>0</v>
      </c>
      <c r="M78">
        <f t="shared" si="18"/>
        <v>0</v>
      </c>
      <c r="N78">
        <f t="shared" si="19"/>
        <v>0</v>
      </c>
      <c r="O78">
        <f t="shared" si="20"/>
        <v>0</v>
      </c>
      <c r="P78">
        <f t="shared" si="21"/>
        <v>0</v>
      </c>
      <c r="Q78">
        <f t="shared" si="22"/>
        <v>0</v>
      </c>
      <c r="R78">
        <f t="shared" si="23"/>
        <v>0</v>
      </c>
    </row>
    <row r="79" spans="1:18">
      <c r="A79" s="1">
        <v>39755</v>
      </c>
      <c r="B79" t="s">
        <v>8</v>
      </c>
      <c r="C79">
        <v>8</v>
      </c>
      <c r="D79" s="2">
        <v>0.30208333333333331</v>
      </c>
      <c r="E79" s="2">
        <v>0.34375</v>
      </c>
      <c r="F79" s="34">
        <f t="shared" ref="F79:F142" si="24">C79*(E79-D79)*2*24</f>
        <v>16.000000000000007</v>
      </c>
      <c r="I79">
        <f t="shared" si="14"/>
        <v>0</v>
      </c>
      <c r="J79">
        <f t="shared" si="15"/>
        <v>0</v>
      </c>
      <c r="K79">
        <f t="shared" si="16"/>
        <v>16.000000000000007</v>
      </c>
      <c r="L79">
        <f t="shared" si="17"/>
        <v>0</v>
      </c>
      <c r="M79">
        <f t="shared" si="18"/>
        <v>0</v>
      </c>
      <c r="N79">
        <f t="shared" si="19"/>
        <v>0</v>
      </c>
      <c r="O79">
        <f t="shared" si="20"/>
        <v>0</v>
      </c>
      <c r="P79">
        <f t="shared" si="21"/>
        <v>0</v>
      </c>
      <c r="Q79">
        <f t="shared" si="22"/>
        <v>0</v>
      </c>
      <c r="R79">
        <f t="shared" si="23"/>
        <v>0</v>
      </c>
    </row>
    <row r="80" spans="1:18">
      <c r="A80" s="1">
        <v>39755</v>
      </c>
      <c r="B80" t="s">
        <v>0</v>
      </c>
      <c r="C80">
        <v>8</v>
      </c>
      <c r="D80" s="2">
        <v>0.72916666666666663</v>
      </c>
      <c r="E80" s="2">
        <v>0.8125</v>
      </c>
      <c r="F80" s="34">
        <f t="shared" si="24"/>
        <v>32.000000000000014</v>
      </c>
      <c r="I80">
        <f t="shared" si="14"/>
        <v>32.000000000000014</v>
      </c>
      <c r="J80">
        <f t="shared" si="15"/>
        <v>0</v>
      </c>
      <c r="K80">
        <f t="shared" si="16"/>
        <v>0</v>
      </c>
      <c r="L80">
        <f t="shared" si="17"/>
        <v>0</v>
      </c>
      <c r="M80">
        <f t="shared" si="18"/>
        <v>0</v>
      </c>
      <c r="N80">
        <f t="shared" si="19"/>
        <v>0</v>
      </c>
      <c r="O80">
        <f t="shared" si="20"/>
        <v>0</v>
      </c>
      <c r="P80">
        <f t="shared" si="21"/>
        <v>0</v>
      </c>
      <c r="Q80">
        <f t="shared" si="22"/>
        <v>0</v>
      </c>
      <c r="R80">
        <f t="shared" si="23"/>
        <v>0</v>
      </c>
    </row>
    <row r="81" spans="1:18">
      <c r="A81" s="1">
        <v>39755</v>
      </c>
      <c r="B81" t="s">
        <v>7</v>
      </c>
      <c r="C81">
        <v>2</v>
      </c>
      <c r="D81" s="2">
        <v>0.77083333333333337</v>
      </c>
      <c r="E81" s="2">
        <v>0.8125</v>
      </c>
      <c r="F81" s="34">
        <f t="shared" si="24"/>
        <v>3.9999999999999964</v>
      </c>
      <c r="I81">
        <f t="shared" si="14"/>
        <v>0</v>
      </c>
      <c r="J81">
        <f t="shared" si="15"/>
        <v>3.9999999999999964</v>
      </c>
      <c r="K81">
        <f t="shared" si="16"/>
        <v>0</v>
      </c>
      <c r="L81">
        <f t="shared" si="17"/>
        <v>0</v>
      </c>
      <c r="M81">
        <f t="shared" si="18"/>
        <v>0</v>
      </c>
      <c r="N81">
        <f t="shared" si="19"/>
        <v>0</v>
      </c>
      <c r="O81">
        <f t="shared" si="20"/>
        <v>0</v>
      </c>
      <c r="P81">
        <f t="shared" si="21"/>
        <v>0</v>
      </c>
      <c r="Q81">
        <f t="shared" si="22"/>
        <v>0</v>
      </c>
      <c r="R81">
        <f t="shared" si="23"/>
        <v>0</v>
      </c>
    </row>
    <row r="82" spans="1:18">
      <c r="A82" s="1">
        <v>39756</v>
      </c>
      <c r="B82" t="s">
        <v>8</v>
      </c>
      <c r="C82">
        <v>8</v>
      </c>
      <c r="D82" s="2">
        <v>0.29166666666666669</v>
      </c>
      <c r="E82" s="2">
        <v>0.33333333333333331</v>
      </c>
      <c r="F82" s="34">
        <f t="shared" si="24"/>
        <v>15.999999999999986</v>
      </c>
      <c r="I82">
        <f t="shared" si="14"/>
        <v>0</v>
      </c>
      <c r="J82">
        <f t="shared" si="15"/>
        <v>0</v>
      </c>
      <c r="K82">
        <f t="shared" si="16"/>
        <v>15.999999999999986</v>
      </c>
      <c r="L82">
        <f t="shared" si="17"/>
        <v>0</v>
      </c>
      <c r="M82">
        <f t="shared" si="18"/>
        <v>0</v>
      </c>
      <c r="N82">
        <f t="shared" si="19"/>
        <v>0</v>
      </c>
      <c r="O82">
        <f t="shared" si="20"/>
        <v>0</v>
      </c>
      <c r="P82">
        <f t="shared" si="21"/>
        <v>0</v>
      </c>
      <c r="Q82">
        <f t="shared" si="22"/>
        <v>0</v>
      </c>
      <c r="R82">
        <f t="shared" si="23"/>
        <v>0</v>
      </c>
    </row>
    <row r="83" spans="1:18">
      <c r="A83" s="1">
        <v>39756</v>
      </c>
      <c r="B83" t="s">
        <v>0</v>
      </c>
      <c r="C83">
        <v>8</v>
      </c>
      <c r="D83" s="2">
        <v>0.77083333333333337</v>
      </c>
      <c r="E83" s="2">
        <v>0.8125</v>
      </c>
      <c r="F83" s="34">
        <f t="shared" si="24"/>
        <v>15.999999999999986</v>
      </c>
      <c r="I83">
        <f t="shared" si="14"/>
        <v>15.999999999999986</v>
      </c>
      <c r="J83">
        <f t="shared" si="15"/>
        <v>0</v>
      </c>
      <c r="K83">
        <f t="shared" si="16"/>
        <v>0</v>
      </c>
      <c r="L83">
        <f t="shared" si="17"/>
        <v>0</v>
      </c>
      <c r="M83">
        <f t="shared" si="18"/>
        <v>0</v>
      </c>
      <c r="N83">
        <f t="shared" si="19"/>
        <v>0</v>
      </c>
      <c r="O83">
        <f t="shared" si="20"/>
        <v>0</v>
      </c>
      <c r="P83">
        <f t="shared" si="21"/>
        <v>0</v>
      </c>
      <c r="Q83">
        <f t="shared" si="22"/>
        <v>0</v>
      </c>
      <c r="R83">
        <f t="shared" si="23"/>
        <v>0</v>
      </c>
    </row>
    <row r="84" spans="1:18">
      <c r="A84" s="1">
        <v>39756</v>
      </c>
      <c r="B84" t="s">
        <v>8</v>
      </c>
      <c r="C84">
        <v>8</v>
      </c>
      <c r="D84" s="2">
        <v>0.83333333333333337</v>
      </c>
      <c r="E84" s="2">
        <v>0.875</v>
      </c>
      <c r="F84" s="34">
        <f t="shared" si="24"/>
        <v>15.999999999999986</v>
      </c>
      <c r="I84">
        <f t="shared" si="14"/>
        <v>0</v>
      </c>
      <c r="J84">
        <f t="shared" si="15"/>
        <v>0</v>
      </c>
      <c r="K84">
        <f t="shared" si="16"/>
        <v>15.999999999999986</v>
      </c>
      <c r="L84">
        <f t="shared" si="17"/>
        <v>0</v>
      </c>
      <c r="M84">
        <f t="shared" si="18"/>
        <v>0</v>
      </c>
      <c r="N84">
        <f t="shared" si="19"/>
        <v>0</v>
      </c>
      <c r="O84">
        <f t="shared" si="20"/>
        <v>0</v>
      </c>
      <c r="P84">
        <f t="shared" si="21"/>
        <v>0</v>
      </c>
      <c r="Q84">
        <f t="shared" si="22"/>
        <v>0</v>
      </c>
      <c r="R84">
        <f t="shared" si="23"/>
        <v>0</v>
      </c>
    </row>
    <row r="85" spans="1:18">
      <c r="A85" s="1">
        <v>39757</v>
      </c>
      <c r="B85" t="s">
        <v>8</v>
      </c>
      <c r="C85">
        <v>8</v>
      </c>
      <c r="D85" s="2">
        <v>0.30208333333333331</v>
      </c>
      <c r="E85" s="2">
        <v>0.34375</v>
      </c>
      <c r="F85" s="34">
        <f t="shared" si="24"/>
        <v>16.000000000000007</v>
      </c>
      <c r="I85">
        <f t="shared" si="14"/>
        <v>0</v>
      </c>
      <c r="J85">
        <f t="shared" si="15"/>
        <v>0</v>
      </c>
      <c r="K85">
        <f t="shared" si="16"/>
        <v>16.000000000000007</v>
      </c>
      <c r="L85">
        <f t="shared" si="17"/>
        <v>0</v>
      </c>
      <c r="M85">
        <f t="shared" si="18"/>
        <v>0</v>
      </c>
      <c r="N85">
        <f t="shared" si="19"/>
        <v>0</v>
      </c>
      <c r="O85">
        <f t="shared" si="20"/>
        <v>0</v>
      </c>
      <c r="P85">
        <f t="shared" si="21"/>
        <v>0</v>
      </c>
      <c r="Q85">
        <f t="shared" si="22"/>
        <v>0</v>
      </c>
      <c r="R85">
        <f t="shared" si="23"/>
        <v>0</v>
      </c>
    </row>
    <row r="86" spans="1:18">
      <c r="A86" s="1">
        <v>39758</v>
      </c>
      <c r="B86" t="s">
        <v>7</v>
      </c>
      <c r="C86">
        <v>8</v>
      </c>
      <c r="D86" s="2">
        <v>0.75</v>
      </c>
      <c r="E86" s="2">
        <v>0.79166666666666663</v>
      </c>
      <c r="F86" s="34">
        <f t="shared" si="24"/>
        <v>15.999999999999986</v>
      </c>
      <c r="I86">
        <f t="shared" si="14"/>
        <v>0</v>
      </c>
      <c r="J86">
        <f t="shared" si="15"/>
        <v>15.999999999999986</v>
      </c>
      <c r="K86">
        <f t="shared" si="16"/>
        <v>0</v>
      </c>
      <c r="L86">
        <f t="shared" si="17"/>
        <v>0</v>
      </c>
      <c r="M86">
        <f t="shared" si="18"/>
        <v>0</v>
      </c>
      <c r="N86">
        <f t="shared" si="19"/>
        <v>0</v>
      </c>
      <c r="O86">
        <f t="shared" si="20"/>
        <v>0</v>
      </c>
      <c r="P86">
        <f t="shared" si="21"/>
        <v>0</v>
      </c>
      <c r="Q86">
        <f t="shared" si="22"/>
        <v>0</v>
      </c>
      <c r="R86">
        <f t="shared" si="23"/>
        <v>0</v>
      </c>
    </row>
    <row r="87" spans="1:18">
      <c r="A87" s="1">
        <v>39759</v>
      </c>
      <c r="B87" t="s">
        <v>8</v>
      </c>
      <c r="C87">
        <v>8</v>
      </c>
      <c r="D87" s="2">
        <v>0.30208333333333331</v>
      </c>
      <c r="E87" s="2">
        <v>0.34375</v>
      </c>
      <c r="F87" s="34">
        <f t="shared" si="24"/>
        <v>16.000000000000007</v>
      </c>
      <c r="I87">
        <f t="shared" si="14"/>
        <v>0</v>
      </c>
      <c r="J87">
        <f t="shared" si="15"/>
        <v>0</v>
      </c>
      <c r="K87">
        <f t="shared" si="16"/>
        <v>16.000000000000007</v>
      </c>
      <c r="L87">
        <f t="shared" si="17"/>
        <v>0</v>
      </c>
      <c r="M87">
        <f t="shared" si="18"/>
        <v>0</v>
      </c>
      <c r="N87">
        <f t="shared" si="19"/>
        <v>0</v>
      </c>
      <c r="O87">
        <f t="shared" si="20"/>
        <v>0</v>
      </c>
      <c r="P87">
        <f t="shared" si="21"/>
        <v>0</v>
      </c>
      <c r="Q87">
        <f t="shared" si="22"/>
        <v>0</v>
      </c>
      <c r="R87">
        <f t="shared" si="23"/>
        <v>0</v>
      </c>
    </row>
    <row r="88" spans="1:18">
      <c r="A88" s="1">
        <v>39759</v>
      </c>
      <c r="B88" t="s">
        <v>8</v>
      </c>
      <c r="C88">
        <v>8</v>
      </c>
      <c r="D88" s="2">
        <v>0.6875</v>
      </c>
      <c r="E88" s="2">
        <v>0.72916666666666663</v>
      </c>
      <c r="F88" s="34">
        <f t="shared" si="24"/>
        <v>15.999999999999986</v>
      </c>
      <c r="I88">
        <f t="shared" si="14"/>
        <v>0</v>
      </c>
      <c r="J88">
        <f t="shared" si="15"/>
        <v>0</v>
      </c>
      <c r="K88">
        <f t="shared" si="16"/>
        <v>15.999999999999986</v>
      </c>
      <c r="L88">
        <f t="shared" si="17"/>
        <v>0</v>
      </c>
      <c r="M88">
        <f t="shared" si="18"/>
        <v>0</v>
      </c>
      <c r="N88">
        <f t="shared" si="19"/>
        <v>0</v>
      </c>
      <c r="O88">
        <f t="shared" si="20"/>
        <v>0</v>
      </c>
      <c r="P88">
        <f t="shared" si="21"/>
        <v>0</v>
      </c>
      <c r="Q88">
        <f t="shared" si="22"/>
        <v>0</v>
      </c>
      <c r="R88">
        <f t="shared" si="23"/>
        <v>0</v>
      </c>
    </row>
    <row r="89" spans="1:18">
      <c r="A89" s="1">
        <v>39759</v>
      </c>
      <c r="B89" t="s">
        <v>0</v>
      </c>
      <c r="C89">
        <v>8</v>
      </c>
      <c r="D89" s="2">
        <v>0.72916666666666663</v>
      </c>
      <c r="E89" s="2">
        <v>0.8125</v>
      </c>
      <c r="F89" s="34">
        <f t="shared" si="24"/>
        <v>32.000000000000014</v>
      </c>
      <c r="I89">
        <f t="shared" si="14"/>
        <v>32.000000000000014</v>
      </c>
      <c r="J89">
        <f t="shared" si="15"/>
        <v>0</v>
      </c>
      <c r="K89">
        <f t="shared" si="16"/>
        <v>0</v>
      </c>
      <c r="L89">
        <f t="shared" si="17"/>
        <v>0</v>
      </c>
      <c r="M89">
        <f t="shared" si="18"/>
        <v>0</v>
      </c>
      <c r="N89">
        <f t="shared" si="19"/>
        <v>0</v>
      </c>
      <c r="O89">
        <f t="shared" si="20"/>
        <v>0</v>
      </c>
      <c r="P89">
        <f t="shared" si="21"/>
        <v>0</v>
      </c>
      <c r="Q89">
        <f t="shared" si="22"/>
        <v>0</v>
      </c>
      <c r="R89">
        <f t="shared" si="23"/>
        <v>0</v>
      </c>
    </row>
    <row r="90" spans="1:18">
      <c r="A90" s="1">
        <v>39760</v>
      </c>
      <c r="B90" t="s">
        <v>7</v>
      </c>
      <c r="C90">
        <v>8</v>
      </c>
      <c r="D90" s="2">
        <v>0.27083333333333331</v>
      </c>
      <c r="E90" s="2">
        <v>0.29166666666666669</v>
      </c>
      <c r="F90" s="34">
        <f t="shared" si="24"/>
        <v>8.0000000000000142</v>
      </c>
      <c r="I90">
        <f t="shared" si="14"/>
        <v>0</v>
      </c>
      <c r="J90">
        <f t="shared" si="15"/>
        <v>8.0000000000000142</v>
      </c>
      <c r="K90">
        <f t="shared" si="16"/>
        <v>0</v>
      </c>
      <c r="L90">
        <f t="shared" si="17"/>
        <v>0</v>
      </c>
      <c r="M90">
        <f t="shared" si="18"/>
        <v>0</v>
      </c>
      <c r="N90">
        <f t="shared" si="19"/>
        <v>0</v>
      </c>
      <c r="O90">
        <f t="shared" si="20"/>
        <v>0</v>
      </c>
      <c r="P90">
        <f t="shared" si="21"/>
        <v>0</v>
      </c>
      <c r="Q90">
        <f t="shared" si="22"/>
        <v>0</v>
      </c>
      <c r="R90">
        <f t="shared" si="23"/>
        <v>0</v>
      </c>
    </row>
    <row r="91" spans="1:18">
      <c r="A91" s="1">
        <v>39761</v>
      </c>
      <c r="B91" t="s">
        <v>8</v>
      </c>
      <c r="C91">
        <v>8</v>
      </c>
      <c r="D91" s="2">
        <v>0.47916666666666669</v>
      </c>
      <c r="E91" s="2">
        <v>0.52083333333333337</v>
      </c>
      <c r="F91" s="34">
        <f t="shared" si="24"/>
        <v>16.000000000000007</v>
      </c>
      <c r="I91">
        <f t="shared" si="14"/>
        <v>0</v>
      </c>
      <c r="J91">
        <f t="shared" si="15"/>
        <v>0</v>
      </c>
      <c r="K91">
        <f t="shared" si="16"/>
        <v>16.000000000000007</v>
      </c>
      <c r="L91">
        <f t="shared" si="17"/>
        <v>0</v>
      </c>
      <c r="M91">
        <f t="shared" si="18"/>
        <v>0</v>
      </c>
      <c r="N91">
        <f t="shared" si="19"/>
        <v>0</v>
      </c>
      <c r="O91">
        <f t="shared" si="20"/>
        <v>0</v>
      </c>
      <c r="P91">
        <f t="shared" si="21"/>
        <v>0</v>
      </c>
      <c r="Q91">
        <f t="shared" si="22"/>
        <v>0</v>
      </c>
      <c r="R91">
        <f t="shared" si="23"/>
        <v>0</v>
      </c>
    </row>
    <row r="92" spans="1:18">
      <c r="A92" s="1">
        <v>39762</v>
      </c>
      <c r="B92" t="s">
        <v>8</v>
      </c>
      <c r="C92">
        <v>8</v>
      </c>
      <c r="D92" s="2">
        <v>0.30208333333333331</v>
      </c>
      <c r="E92" s="2">
        <v>0.34375</v>
      </c>
      <c r="F92" s="34">
        <f>C92*(E92-D92)*2*24</f>
        <v>16.000000000000007</v>
      </c>
      <c r="I92">
        <f t="shared" si="14"/>
        <v>0</v>
      </c>
      <c r="J92">
        <f t="shared" si="15"/>
        <v>0</v>
      </c>
      <c r="K92">
        <f t="shared" si="16"/>
        <v>16.000000000000007</v>
      </c>
      <c r="L92">
        <f t="shared" si="17"/>
        <v>0</v>
      </c>
      <c r="M92">
        <f t="shared" si="18"/>
        <v>0</v>
      </c>
      <c r="N92">
        <f t="shared" si="19"/>
        <v>0</v>
      </c>
      <c r="O92">
        <f t="shared" si="20"/>
        <v>0</v>
      </c>
      <c r="P92">
        <f t="shared" si="21"/>
        <v>0</v>
      </c>
      <c r="Q92">
        <f t="shared" si="22"/>
        <v>0</v>
      </c>
      <c r="R92">
        <f t="shared" si="23"/>
        <v>0</v>
      </c>
    </row>
    <row r="93" spans="1:18">
      <c r="A93" s="1">
        <v>39762</v>
      </c>
      <c r="B93" t="s">
        <v>0</v>
      </c>
      <c r="C93">
        <v>8</v>
      </c>
      <c r="D93" s="2">
        <v>0.72916666666666663</v>
      </c>
      <c r="E93" s="2">
        <v>0.8125</v>
      </c>
      <c r="F93" s="34">
        <f t="shared" si="24"/>
        <v>32.000000000000014</v>
      </c>
      <c r="I93">
        <f t="shared" si="14"/>
        <v>32.000000000000014</v>
      </c>
      <c r="J93">
        <f t="shared" si="15"/>
        <v>0</v>
      </c>
      <c r="K93">
        <f t="shared" si="16"/>
        <v>0</v>
      </c>
      <c r="L93">
        <f t="shared" si="17"/>
        <v>0</v>
      </c>
      <c r="M93">
        <f t="shared" si="18"/>
        <v>0</v>
      </c>
      <c r="N93">
        <f t="shared" si="19"/>
        <v>0</v>
      </c>
      <c r="O93">
        <f t="shared" si="20"/>
        <v>0</v>
      </c>
      <c r="P93">
        <f t="shared" si="21"/>
        <v>0</v>
      </c>
      <c r="Q93">
        <f t="shared" si="22"/>
        <v>0</v>
      </c>
      <c r="R93">
        <f t="shared" si="23"/>
        <v>0</v>
      </c>
    </row>
    <row r="94" spans="1:18">
      <c r="A94" s="1">
        <v>39763</v>
      </c>
      <c r="B94" t="s">
        <v>8</v>
      </c>
      <c r="C94">
        <v>8</v>
      </c>
      <c r="D94" s="2">
        <v>0.29166666666666669</v>
      </c>
      <c r="E94" s="2">
        <v>0.33333333333333331</v>
      </c>
      <c r="F94" s="34">
        <f t="shared" si="24"/>
        <v>15.999999999999986</v>
      </c>
      <c r="I94">
        <f t="shared" si="14"/>
        <v>0</v>
      </c>
      <c r="J94">
        <f t="shared" si="15"/>
        <v>0</v>
      </c>
      <c r="K94">
        <f t="shared" si="16"/>
        <v>15.999999999999986</v>
      </c>
      <c r="L94">
        <f t="shared" si="17"/>
        <v>0</v>
      </c>
      <c r="M94">
        <f t="shared" si="18"/>
        <v>0</v>
      </c>
      <c r="N94">
        <f t="shared" si="19"/>
        <v>0</v>
      </c>
      <c r="O94">
        <f t="shared" si="20"/>
        <v>0</v>
      </c>
      <c r="P94">
        <f t="shared" si="21"/>
        <v>0</v>
      </c>
      <c r="Q94">
        <f t="shared" si="22"/>
        <v>0</v>
      </c>
      <c r="R94">
        <f t="shared" si="23"/>
        <v>0</v>
      </c>
    </row>
    <row r="95" spans="1:18">
      <c r="A95" s="1">
        <v>39763</v>
      </c>
      <c r="B95" t="s">
        <v>7</v>
      </c>
      <c r="C95">
        <v>1</v>
      </c>
      <c r="D95" s="2">
        <v>0.66666666666666663</v>
      </c>
      <c r="E95" s="2">
        <v>0.70833333333333337</v>
      </c>
      <c r="F95" s="34">
        <f t="shared" si="24"/>
        <v>2.0000000000000036</v>
      </c>
      <c r="I95">
        <f t="shared" si="14"/>
        <v>0</v>
      </c>
      <c r="J95">
        <f t="shared" si="15"/>
        <v>2.0000000000000036</v>
      </c>
      <c r="K95">
        <f t="shared" si="16"/>
        <v>0</v>
      </c>
      <c r="L95">
        <f t="shared" si="17"/>
        <v>0</v>
      </c>
      <c r="M95">
        <f t="shared" si="18"/>
        <v>0</v>
      </c>
      <c r="N95">
        <f t="shared" si="19"/>
        <v>0</v>
      </c>
      <c r="O95">
        <f t="shared" si="20"/>
        <v>0</v>
      </c>
      <c r="P95">
        <f t="shared" si="21"/>
        <v>0</v>
      </c>
      <c r="Q95">
        <f t="shared" si="22"/>
        <v>0</v>
      </c>
      <c r="R95">
        <f t="shared" si="23"/>
        <v>0</v>
      </c>
    </row>
    <row r="96" spans="1:18">
      <c r="A96" s="1">
        <v>39763</v>
      </c>
      <c r="B96" s="2" t="s">
        <v>0</v>
      </c>
      <c r="C96">
        <v>9</v>
      </c>
      <c r="D96" s="2">
        <v>0.77083333333333337</v>
      </c>
      <c r="E96" s="2">
        <v>0.8125</v>
      </c>
      <c r="F96" s="34">
        <f t="shared" si="24"/>
        <v>17.999999999999986</v>
      </c>
      <c r="I96">
        <f t="shared" si="14"/>
        <v>17.999999999999986</v>
      </c>
      <c r="J96">
        <f t="shared" si="15"/>
        <v>0</v>
      </c>
      <c r="K96">
        <f t="shared" si="16"/>
        <v>0</v>
      </c>
      <c r="L96">
        <f t="shared" si="17"/>
        <v>0</v>
      </c>
      <c r="M96">
        <f t="shared" si="18"/>
        <v>0</v>
      </c>
      <c r="N96">
        <f t="shared" si="19"/>
        <v>0</v>
      </c>
      <c r="O96">
        <f t="shared" si="20"/>
        <v>0</v>
      </c>
      <c r="P96">
        <f t="shared" si="21"/>
        <v>0</v>
      </c>
      <c r="Q96">
        <f t="shared" si="22"/>
        <v>0</v>
      </c>
      <c r="R96">
        <f t="shared" si="23"/>
        <v>0</v>
      </c>
    </row>
    <row r="97" spans="1:18">
      <c r="A97" s="1">
        <v>39763</v>
      </c>
      <c r="B97" t="s">
        <v>8</v>
      </c>
      <c r="C97">
        <v>8</v>
      </c>
      <c r="D97" s="2">
        <v>0.83333333333333337</v>
      </c>
      <c r="E97" s="2">
        <v>0.875</v>
      </c>
      <c r="F97" s="34">
        <f t="shared" si="24"/>
        <v>15.999999999999986</v>
      </c>
      <c r="I97">
        <f t="shared" si="14"/>
        <v>0</v>
      </c>
      <c r="J97">
        <f t="shared" si="15"/>
        <v>0</v>
      </c>
      <c r="K97">
        <f t="shared" si="16"/>
        <v>15.999999999999986</v>
      </c>
      <c r="L97">
        <f t="shared" si="17"/>
        <v>0</v>
      </c>
      <c r="M97">
        <f t="shared" si="18"/>
        <v>0</v>
      </c>
      <c r="N97">
        <f t="shared" si="19"/>
        <v>0</v>
      </c>
      <c r="O97">
        <f t="shared" si="20"/>
        <v>0</v>
      </c>
      <c r="P97">
        <f t="shared" si="21"/>
        <v>0</v>
      </c>
      <c r="Q97">
        <f t="shared" si="22"/>
        <v>0</v>
      </c>
      <c r="R97">
        <f t="shared" si="23"/>
        <v>0</v>
      </c>
    </row>
    <row r="98" spans="1:18">
      <c r="A98" s="1">
        <v>39763</v>
      </c>
      <c r="B98" t="s">
        <v>7</v>
      </c>
      <c r="C98">
        <v>1</v>
      </c>
      <c r="D98" s="2">
        <v>0.875</v>
      </c>
      <c r="E98" s="2">
        <v>0.91666666666666663</v>
      </c>
      <c r="F98" s="34">
        <f t="shared" si="24"/>
        <v>1.9999999999999982</v>
      </c>
      <c r="I98">
        <f t="shared" si="14"/>
        <v>0</v>
      </c>
      <c r="J98">
        <f t="shared" si="15"/>
        <v>1.9999999999999982</v>
      </c>
      <c r="K98">
        <f t="shared" si="16"/>
        <v>0</v>
      </c>
      <c r="L98">
        <f t="shared" si="17"/>
        <v>0</v>
      </c>
      <c r="M98">
        <f t="shared" si="18"/>
        <v>0</v>
      </c>
      <c r="N98">
        <f t="shared" si="19"/>
        <v>0</v>
      </c>
      <c r="O98">
        <f t="shared" si="20"/>
        <v>0</v>
      </c>
      <c r="P98">
        <f t="shared" si="21"/>
        <v>0</v>
      </c>
      <c r="Q98">
        <f t="shared" si="22"/>
        <v>0</v>
      </c>
      <c r="R98">
        <f t="shared" si="23"/>
        <v>0</v>
      </c>
    </row>
    <row r="99" spans="1:18">
      <c r="A99" s="1">
        <v>39764</v>
      </c>
      <c r="B99" t="s">
        <v>8</v>
      </c>
      <c r="C99">
        <v>8</v>
      </c>
      <c r="D99" s="2">
        <v>0.30208333333333331</v>
      </c>
      <c r="E99" s="2">
        <v>0.34375</v>
      </c>
      <c r="F99" s="34">
        <f t="shared" si="24"/>
        <v>16.000000000000007</v>
      </c>
      <c r="I99">
        <f t="shared" si="14"/>
        <v>0</v>
      </c>
      <c r="J99">
        <f t="shared" si="15"/>
        <v>0</v>
      </c>
      <c r="K99">
        <f t="shared" si="16"/>
        <v>16.000000000000007</v>
      </c>
      <c r="L99">
        <f t="shared" si="17"/>
        <v>0</v>
      </c>
      <c r="M99">
        <f t="shared" si="18"/>
        <v>0</v>
      </c>
      <c r="N99">
        <f t="shared" si="19"/>
        <v>0</v>
      </c>
      <c r="O99">
        <f t="shared" si="20"/>
        <v>0</v>
      </c>
      <c r="P99">
        <f t="shared" si="21"/>
        <v>0</v>
      </c>
      <c r="Q99">
        <f t="shared" si="22"/>
        <v>0</v>
      </c>
      <c r="R99">
        <f t="shared" si="23"/>
        <v>0</v>
      </c>
    </row>
    <row r="100" spans="1:18">
      <c r="A100" s="1">
        <v>39765</v>
      </c>
      <c r="B100" t="s">
        <v>7</v>
      </c>
      <c r="C100">
        <v>5</v>
      </c>
      <c r="D100" s="2">
        <v>0.75</v>
      </c>
      <c r="E100" s="2">
        <v>0.79166666666666663</v>
      </c>
      <c r="F100" s="34">
        <f t="shared" si="24"/>
        <v>9.9999999999999911</v>
      </c>
      <c r="I100">
        <f t="shared" si="14"/>
        <v>0</v>
      </c>
      <c r="J100">
        <f t="shared" si="15"/>
        <v>9.9999999999999911</v>
      </c>
      <c r="K100">
        <f t="shared" si="16"/>
        <v>0</v>
      </c>
      <c r="L100">
        <f t="shared" si="17"/>
        <v>0</v>
      </c>
      <c r="M100">
        <f t="shared" si="18"/>
        <v>0</v>
      </c>
      <c r="N100">
        <f t="shared" si="19"/>
        <v>0</v>
      </c>
      <c r="O100">
        <f t="shared" si="20"/>
        <v>0</v>
      </c>
      <c r="P100">
        <f t="shared" si="21"/>
        <v>0</v>
      </c>
      <c r="Q100">
        <f t="shared" si="22"/>
        <v>0</v>
      </c>
      <c r="R100">
        <f t="shared" si="23"/>
        <v>0</v>
      </c>
    </row>
    <row r="101" spans="1:18">
      <c r="A101" s="1">
        <v>39766</v>
      </c>
      <c r="B101" t="s">
        <v>0</v>
      </c>
      <c r="C101">
        <v>8</v>
      </c>
      <c r="D101" s="2">
        <v>0.72916666666666663</v>
      </c>
      <c r="E101" s="2">
        <v>0.8125</v>
      </c>
      <c r="F101" s="34">
        <f t="shared" si="24"/>
        <v>32.000000000000014</v>
      </c>
      <c r="I101">
        <f t="shared" si="14"/>
        <v>32.000000000000014</v>
      </c>
      <c r="J101">
        <f t="shared" si="15"/>
        <v>0</v>
      </c>
      <c r="K101">
        <f t="shared" si="16"/>
        <v>0</v>
      </c>
      <c r="L101">
        <f t="shared" si="17"/>
        <v>0</v>
      </c>
      <c r="M101">
        <f t="shared" si="18"/>
        <v>0</v>
      </c>
      <c r="N101">
        <f t="shared" si="19"/>
        <v>0</v>
      </c>
      <c r="O101">
        <f t="shared" si="20"/>
        <v>0</v>
      </c>
      <c r="P101">
        <f t="shared" si="21"/>
        <v>0</v>
      </c>
      <c r="Q101">
        <f t="shared" si="22"/>
        <v>0</v>
      </c>
      <c r="R101">
        <f t="shared" si="23"/>
        <v>0</v>
      </c>
    </row>
    <row r="102" spans="1:18">
      <c r="A102" s="1">
        <v>39768</v>
      </c>
      <c r="B102" t="s">
        <v>8</v>
      </c>
      <c r="C102">
        <v>8</v>
      </c>
      <c r="D102" s="2">
        <v>0.47916666666666669</v>
      </c>
      <c r="E102" s="2">
        <v>0.52083333333333337</v>
      </c>
      <c r="F102" s="34">
        <f t="shared" si="24"/>
        <v>16.000000000000007</v>
      </c>
      <c r="I102">
        <f t="shared" si="14"/>
        <v>0</v>
      </c>
      <c r="J102">
        <f t="shared" si="15"/>
        <v>0</v>
      </c>
      <c r="K102">
        <f t="shared" si="16"/>
        <v>16.000000000000007</v>
      </c>
      <c r="L102">
        <f t="shared" si="17"/>
        <v>0</v>
      </c>
      <c r="M102">
        <f t="shared" si="18"/>
        <v>0</v>
      </c>
      <c r="N102">
        <f t="shared" si="19"/>
        <v>0</v>
      </c>
      <c r="O102">
        <f t="shared" si="20"/>
        <v>0</v>
      </c>
      <c r="P102">
        <f t="shared" si="21"/>
        <v>0</v>
      </c>
      <c r="Q102">
        <f t="shared" si="22"/>
        <v>0</v>
      </c>
      <c r="R102">
        <f t="shared" si="23"/>
        <v>0</v>
      </c>
    </row>
    <row r="103" spans="1:18">
      <c r="A103" s="1">
        <v>39768</v>
      </c>
      <c r="B103" t="s">
        <v>8</v>
      </c>
      <c r="C103">
        <v>6</v>
      </c>
      <c r="D103" s="2">
        <v>0.52083333333333337</v>
      </c>
      <c r="E103" s="2">
        <v>0.5625</v>
      </c>
      <c r="F103" s="34">
        <f t="shared" si="24"/>
        <v>11.999999999999989</v>
      </c>
      <c r="I103">
        <f t="shared" si="14"/>
        <v>0</v>
      </c>
      <c r="J103">
        <f t="shared" si="15"/>
        <v>0</v>
      </c>
      <c r="K103">
        <f t="shared" si="16"/>
        <v>11.999999999999989</v>
      </c>
      <c r="L103">
        <f t="shared" si="17"/>
        <v>0</v>
      </c>
      <c r="M103">
        <f t="shared" si="18"/>
        <v>0</v>
      </c>
      <c r="N103">
        <f t="shared" si="19"/>
        <v>0</v>
      </c>
      <c r="O103">
        <f t="shared" si="20"/>
        <v>0</v>
      </c>
      <c r="P103">
        <f t="shared" si="21"/>
        <v>0</v>
      </c>
      <c r="Q103">
        <f t="shared" si="22"/>
        <v>0</v>
      </c>
      <c r="R103">
        <f t="shared" si="23"/>
        <v>0</v>
      </c>
    </row>
    <row r="104" spans="1:18">
      <c r="A104" s="1">
        <v>39769</v>
      </c>
      <c r="B104" t="s">
        <v>8</v>
      </c>
      <c r="C104">
        <v>8</v>
      </c>
      <c r="D104" s="2">
        <v>0.30208333333333331</v>
      </c>
      <c r="E104" s="2">
        <v>0.34375</v>
      </c>
      <c r="F104" s="34">
        <f t="shared" si="24"/>
        <v>16.000000000000007</v>
      </c>
      <c r="I104">
        <f t="shared" ref="I104:I164" si="25">IF(($B104=B$1),($F104),(0))</f>
        <v>0</v>
      </c>
      <c r="J104">
        <f t="shared" ref="J104:J164" si="26">IF(($B104=C$1),($F104),(0))</f>
        <v>0</v>
      </c>
      <c r="K104">
        <f t="shared" ref="K104:K164" si="27">IF(($B104=D$1),($F104),(0))</f>
        <v>16.000000000000007</v>
      </c>
      <c r="L104">
        <f t="shared" ref="L104:L164" si="28">IF(($B104=E$1),($F104),(0))</f>
        <v>0</v>
      </c>
      <c r="M104">
        <f t="shared" ref="M104:M164" si="29">IF(($B104=F$1),($F104),(0))</f>
        <v>0</v>
      </c>
      <c r="N104">
        <f t="shared" ref="N104:N164" si="30">IF(($B104=G$1),($F104),(0))</f>
        <v>0</v>
      </c>
      <c r="O104">
        <f t="shared" ref="O104:O164" si="31">IF(($B104=H$1),($F104),(0))</f>
        <v>0</v>
      </c>
      <c r="P104">
        <f t="shared" si="21"/>
        <v>0</v>
      </c>
      <c r="Q104">
        <f t="shared" si="22"/>
        <v>0</v>
      </c>
      <c r="R104">
        <f t="shared" si="23"/>
        <v>0</v>
      </c>
    </row>
    <row r="105" spans="1:18">
      <c r="A105" s="1">
        <v>39769</v>
      </c>
      <c r="B105" t="s">
        <v>0</v>
      </c>
      <c r="C105">
        <v>8</v>
      </c>
      <c r="D105" s="2">
        <v>0.72916666666666663</v>
      </c>
      <c r="E105" s="2">
        <v>0.8125</v>
      </c>
      <c r="F105" s="34">
        <f t="shared" si="24"/>
        <v>32.000000000000014</v>
      </c>
      <c r="I105">
        <f t="shared" si="25"/>
        <v>32.000000000000014</v>
      </c>
      <c r="J105">
        <f t="shared" si="26"/>
        <v>0</v>
      </c>
      <c r="K105">
        <f t="shared" si="27"/>
        <v>0</v>
      </c>
      <c r="L105">
        <f t="shared" si="28"/>
        <v>0</v>
      </c>
      <c r="M105">
        <f t="shared" si="29"/>
        <v>0</v>
      </c>
      <c r="N105">
        <f t="shared" si="30"/>
        <v>0</v>
      </c>
      <c r="O105">
        <f t="shared" si="31"/>
        <v>0</v>
      </c>
      <c r="P105">
        <f t="shared" si="21"/>
        <v>0</v>
      </c>
      <c r="Q105">
        <f t="shared" si="22"/>
        <v>0</v>
      </c>
      <c r="R105">
        <f t="shared" si="23"/>
        <v>0</v>
      </c>
    </row>
    <row r="106" spans="1:18">
      <c r="A106" s="1">
        <v>39769</v>
      </c>
      <c r="B106" t="s">
        <v>7</v>
      </c>
      <c r="C106">
        <v>2</v>
      </c>
      <c r="D106" s="2">
        <v>0.875</v>
      </c>
      <c r="E106" s="2">
        <v>0.91666666666666663</v>
      </c>
      <c r="F106" s="34">
        <f t="shared" si="24"/>
        <v>3.9999999999999964</v>
      </c>
      <c r="I106">
        <f t="shared" si="25"/>
        <v>0</v>
      </c>
      <c r="J106">
        <f t="shared" si="26"/>
        <v>3.9999999999999964</v>
      </c>
      <c r="K106">
        <f t="shared" si="27"/>
        <v>0</v>
      </c>
      <c r="L106">
        <f t="shared" si="28"/>
        <v>0</v>
      </c>
      <c r="M106">
        <f t="shared" si="29"/>
        <v>0</v>
      </c>
      <c r="N106">
        <f t="shared" si="30"/>
        <v>0</v>
      </c>
      <c r="O106">
        <f t="shared" si="31"/>
        <v>0</v>
      </c>
      <c r="P106">
        <f t="shared" si="21"/>
        <v>0</v>
      </c>
      <c r="Q106">
        <f t="shared" si="22"/>
        <v>0</v>
      </c>
      <c r="R106">
        <f t="shared" si="23"/>
        <v>0</v>
      </c>
    </row>
    <row r="107" spans="1:18">
      <c r="A107" s="1">
        <v>39770</v>
      </c>
      <c r="B107" t="s">
        <v>8</v>
      </c>
      <c r="C107">
        <v>8</v>
      </c>
      <c r="D107" s="2">
        <v>0.29166666666666669</v>
      </c>
      <c r="E107" s="2">
        <v>0.33333333333333331</v>
      </c>
      <c r="F107" s="34">
        <f t="shared" si="24"/>
        <v>15.999999999999986</v>
      </c>
      <c r="I107">
        <f t="shared" si="25"/>
        <v>0</v>
      </c>
      <c r="J107">
        <f t="shared" si="26"/>
        <v>0</v>
      </c>
      <c r="K107">
        <f t="shared" si="27"/>
        <v>15.999999999999986</v>
      </c>
      <c r="L107">
        <f t="shared" si="28"/>
        <v>0</v>
      </c>
      <c r="M107">
        <f t="shared" si="29"/>
        <v>0</v>
      </c>
      <c r="N107">
        <f t="shared" si="30"/>
        <v>0</v>
      </c>
      <c r="O107">
        <f t="shared" si="31"/>
        <v>0</v>
      </c>
      <c r="P107">
        <f t="shared" si="21"/>
        <v>0</v>
      </c>
      <c r="Q107">
        <f t="shared" si="22"/>
        <v>0</v>
      </c>
      <c r="R107">
        <f t="shared" si="23"/>
        <v>0</v>
      </c>
    </row>
    <row r="108" spans="1:18">
      <c r="A108" s="1">
        <v>39770</v>
      </c>
      <c r="B108" t="s">
        <v>7</v>
      </c>
      <c r="C108">
        <v>2</v>
      </c>
      <c r="D108" s="2">
        <v>0.75</v>
      </c>
      <c r="E108" s="2">
        <v>0.77083333333333337</v>
      </c>
      <c r="F108" s="34">
        <f t="shared" si="24"/>
        <v>2.0000000000000036</v>
      </c>
      <c r="I108">
        <f t="shared" si="25"/>
        <v>0</v>
      </c>
      <c r="J108">
        <f t="shared" si="26"/>
        <v>2.0000000000000036</v>
      </c>
      <c r="K108">
        <f t="shared" si="27"/>
        <v>0</v>
      </c>
      <c r="L108">
        <f t="shared" si="28"/>
        <v>0</v>
      </c>
      <c r="M108">
        <f t="shared" si="29"/>
        <v>0</v>
      </c>
      <c r="N108">
        <f t="shared" si="30"/>
        <v>0</v>
      </c>
      <c r="O108">
        <f t="shared" si="31"/>
        <v>0</v>
      </c>
      <c r="P108">
        <f t="shared" si="21"/>
        <v>0</v>
      </c>
      <c r="Q108">
        <f t="shared" si="22"/>
        <v>0</v>
      </c>
      <c r="R108">
        <f t="shared" si="23"/>
        <v>0</v>
      </c>
    </row>
    <row r="109" spans="1:18">
      <c r="A109" s="1">
        <v>39770</v>
      </c>
      <c r="B109" t="s">
        <v>0</v>
      </c>
      <c r="C109">
        <v>8</v>
      </c>
      <c r="D109" s="2">
        <v>0.77083333333333337</v>
      </c>
      <c r="E109" s="2">
        <v>0.8125</v>
      </c>
      <c r="F109" s="34">
        <f t="shared" si="24"/>
        <v>15.999999999999986</v>
      </c>
      <c r="I109">
        <f t="shared" si="25"/>
        <v>15.999999999999986</v>
      </c>
      <c r="J109">
        <f t="shared" si="26"/>
        <v>0</v>
      </c>
      <c r="K109">
        <f t="shared" si="27"/>
        <v>0</v>
      </c>
      <c r="L109">
        <f t="shared" si="28"/>
        <v>0</v>
      </c>
      <c r="M109">
        <f t="shared" si="29"/>
        <v>0</v>
      </c>
      <c r="N109">
        <f t="shared" si="30"/>
        <v>0</v>
      </c>
      <c r="O109">
        <f t="shared" si="31"/>
        <v>0</v>
      </c>
      <c r="P109">
        <f t="shared" si="21"/>
        <v>0</v>
      </c>
      <c r="Q109">
        <f t="shared" si="22"/>
        <v>0</v>
      </c>
      <c r="R109">
        <f t="shared" si="23"/>
        <v>0</v>
      </c>
    </row>
    <row r="110" spans="1:18">
      <c r="A110" s="1">
        <v>39770</v>
      </c>
      <c r="B110" t="s">
        <v>8</v>
      </c>
      <c r="C110">
        <v>8</v>
      </c>
      <c r="D110" s="2">
        <v>0.83333333333333337</v>
      </c>
      <c r="E110" s="2">
        <v>0.875</v>
      </c>
      <c r="F110" s="34">
        <f t="shared" si="24"/>
        <v>15.999999999999986</v>
      </c>
      <c r="I110">
        <f t="shared" si="25"/>
        <v>0</v>
      </c>
      <c r="J110">
        <f t="shared" si="26"/>
        <v>0</v>
      </c>
      <c r="K110">
        <f t="shared" si="27"/>
        <v>15.999999999999986</v>
      </c>
      <c r="L110">
        <f t="shared" si="28"/>
        <v>0</v>
      </c>
      <c r="M110">
        <f t="shared" si="29"/>
        <v>0</v>
      </c>
      <c r="N110">
        <f t="shared" si="30"/>
        <v>0</v>
      </c>
      <c r="O110">
        <f t="shared" si="31"/>
        <v>0</v>
      </c>
      <c r="P110">
        <f t="shared" si="21"/>
        <v>0</v>
      </c>
      <c r="Q110">
        <f t="shared" si="22"/>
        <v>0</v>
      </c>
      <c r="R110">
        <f t="shared" si="23"/>
        <v>0</v>
      </c>
    </row>
    <row r="111" spans="1:18">
      <c r="A111" s="1">
        <v>39771</v>
      </c>
      <c r="B111" t="s">
        <v>8</v>
      </c>
      <c r="C111">
        <v>8</v>
      </c>
      <c r="D111" s="2">
        <v>0.30208333333333331</v>
      </c>
      <c r="E111" s="2">
        <v>0.34375</v>
      </c>
      <c r="F111" s="34">
        <f t="shared" si="24"/>
        <v>16.000000000000007</v>
      </c>
      <c r="I111">
        <f t="shared" si="25"/>
        <v>0</v>
      </c>
      <c r="J111">
        <f t="shared" si="26"/>
        <v>0</v>
      </c>
      <c r="K111">
        <f t="shared" si="27"/>
        <v>16.000000000000007</v>
      </c>
      <c r="L111">
        <f t="shared" si="28"/>
        <v>0</v>
      </c>
      <c r="M111">
        <f t="shared" si="29"/>
        <v>0</v>
      </c>
      <c r="N111">
        <f t="shared" si="30"/>
        <v>0</v>
      </c>
      <c r="O111">
        <f t="shared" si="31"/>
        <v>0</v>
      </c>
      <c r="P111">
        <f t="shared" si="21"/>
        <v>0</v>
      </c>
      <c r="Q111">
        <f t="shared" si="22"/>
        <v>0</v>
      </c>
      <c r="R111">
        <f t="shared" si="23"/>
        <v>0</v>
      </c>
    </row>
    <row r="112" spans="1:18">
      <c r="A112" s="1">
        <v>39772</v>
      </c>
      <c r="B112" t="s">
        <v>7</v>
      </c>
      <c r="C112">
        <v>8</v>
      </c>
      <c r="D112" s="2">
        <v>0.75</v>
      </c>
      <c r="E112" s="2">
        <v>0.79166666666666663</v>
      </c>
      <c r="F112" s="34">
        <f t="shared" si="24"/>
        <v>15.999999999999986</v>
      </c>
      <c r="I112">
        <f t="shared" si="25"/>
        <v>0</v>
      </c>
      <c r="J112">
        <f t="shared" si="26"/>
        <v>15.999999999999986</v>
      </c>
      <c r="K112">
        <f t="shared" si="27"/>
        <v>0</v>
      </c>
      <c r="L112">
        <f t="shared" si="28"/>
        <v>0</v>
      </c>
      <c r="M112">
        <f t="shared" si="29"/>
        <v>0</v>
      </c>
      <c r="N112">
        <f t="shared" si="30"/>
        <v>0</v>
      </c>
      <c r="O112">
        <f t="shared" si="31"/>
        <v>0</v>
      </c>
      <c r="P112">
        <f t="shared" si="21"/>
        <v>0</v>
      </c>
      <c r="Q112">
        <f t="shared" si="22"/>
        <v>0</v>
      </c>
      <c r="R112">
        <f t="shared" si="23"/>
        <v>0</v>
      </c>
    </row>
    <row r="113" spans="1:18">
      <c r="A113" s="1">
        <v>39773</v>
      </c>
      <c r="B113" t="s">
        <v>8</v>
      </c>
      <c r="C113">
        <v>8</v>
      </c>
      <c r="D113" s="2">
        <v>0.30208333333333331</v>
      </c>
      <c r="E113" s="2">
        <v>0.34375</v>
      </c>
      <c r="F113" s="34">
        <f t="shared" si="24"/>
        <v>16.000000000000007</v>
      </c>
      <c r="I113">
        <f t="shared" si="25"/>
        <v>0</v>
      </c>
      <c r="J113">
        <f t="shared" si="26"/>
        <v>0</v>
      </c>
      <c r="K113">
        <f t="shared" si="27"/>
        <v>16.000000000000007</v>
      </c>
      <c r="L113">
        <f t="shared" si="28"/>
        <v>0</v>
      </c>
      <c r="M113">
        <f t="shared" si="29"/>
        <v>0</v>
      </c>
      <c r="N113">
        <f t="shared" si="30"/>
        <v>0</v>
      </c>
      <c r="O113">
        <f t="shared" si="31"/>
        <v>0</v>
      </c>
      <c r="P113">
        <f t="shared" si="21"/>
        <v>0</v>
      </c>
      <c r="Q113">
        <f t="shared" si="22"/>
        <v>0</v>
      </c>
      <c r="R113">
        <f t="shared" si="23"/>
        <v>0</v>
      </c>
    </row>
    <row r="114" spans="1:18">
      <c r="A114" s="1">
        <v>39773</v>
      </c>
      <c r="B114" t="s">
        <v>0</v>
      </c>
      <c r="C114">
        <v>8</v>
      </c>
      <c r="D114" s="2">
        <v>0.72916666666666663</v>
      </c>
      <c r="E114" s="2">
        <v>0.8125</v>
      </c>
      <c r="F114" s="34">
        <f t="shared" si="24"/>
        <v>32.000000000000014</v>
      </c>
      <c r="I114">
        <f t="shared" si="25"/>
        <v>32.000000000000014</v>
      </c>
      <c r="J114">
        <f t="shared" si="26"/>
        <v>0</v>
      </c>
      <c r="K114">
        <f t="shared" si="27"/>
        <v>0</v>
      </c>
      <c r="L114">
        <f t="shared" si="28"/>
        <v>0</v>
      </c>
      <c r="M114">
        <f t="shared" si="29"/>
        <v>0</v>
      </c>
      <c r="N114">
        <f t="shared" si="30"/>
        <v>0</v>
      </c>
      <c r="O114">
        <f t="shared" si="31"/>
        <v>0</v>
      </c>
      <c r="P114">
        <f t="shared" si="21"/>
        <v>0</v>
      </c>
      <c r="Q114">
        <f t="shared" si="22"/>
        <v>0</v>
      </c>
      <c r="R114">
        <f t="shared" si="23"/>
        <v>0</v>
      </c>
    </row>
    <row r="115" spans="1:18">
      <c r="A115" s="1">
        <v>39774</v>
      </c>
      <c r="B115" t="s">
        <v>8</v>
      </c>
      <c r="C115">
        <v>8</v>
      </c>
      <c r="D115" s="2">
        <v>0.66666666666666663</v>
      </c>
      <c r="E115" s="2">
        <v>0.70833333333333337</v>
      </c>
      <c r="F115" s="34">
        <f t="shared" si="24"/>
        <v>16.000000000000028</v>
      </c>
      <c r="I115">
        <f t="shared" si="25"/>
        <v>0</v>
      </c>
      <c r="J115">
        <f t="shared" si="26"/>
        <v>0</v>
      </c>
      <c r="K115">
        <f t="shared" si="27"/>
        <v>16.000000000000028</v>
      </c>
      <c r="L115">
        <f t="shared" si="28"/>
        <v>0</v>
      </c>
      <c r="M115">
        <f t="shared" si="29"/>
        <v>0</v>
      </c>
      <c r="N115">
        <f t="shared" si="30"/>
        <v>0</v>
      </c>
      <c r="O115">
        <f t="shared" si="31"/>
        <v>0</v>
      </c>
      <c r="P115">
        <f t="shared" si="21"/>
        <v>0</v>
      </c>
      <c r="Q115">
        <f t="shared" si="22"/>
        <v>0</v>
      </c>
      <c r="R115">
        <f t="shared" si="23"/>
        <v>0</v>
      </c>
    </row>
    <row r="116" spans="1:18">
      <c r="A116" s="1">
        <v>39775</v>
      </c>
      <c r="B116" t="s">
        <v>8</v>
      </c>
      <c r="C116">
        <v>7</v>
      </c>
      <c r="D116" s="2">
        <v>0.375</v>
      </c>
      <c r="E116" s="2">
        <v>0.41666666666666669</v>
      </c>
      <c r="F116" s="34">
        <f t="shared" si="24"/>
        <v>14.000000000000007</v>
      </c>
      <c r="I116">
        <f t="shared" si="25"/>
        <v>0</v>
      </c>
      <c r="J116">
        <f t="shared" si="26"/>
        <v>0</v>
      </c>
      <c r="K116">
        <f t="shared" si="27"/>
        <v>14.000000000000007</v>
      </c>
      <c r="L116">
        <f t="shared" si="28"/>
        <v>0</v>
      </c>
      <c r="M116">
        <f t="shared" si="29"/>
        <v>0</v>
      </c>
      <c r="N116">
        <f t="shared" si="30"/>
        <v>0</v>
      </c>
      <c r="O116">
        <f t="shared" si="31"/>
        <v>0</v>
      </c>
      <c r="P116">
        <f t="shared" si="21"/>
        <v>0</v>
      </c>
      <c r="Q116">
        <f t="shared" si="22"/>
        <v>0</v>
      </c>
      <c r="R116">
        <f t="shared" si="23"/>
        <v>0</v>
      </c>
    </row>
    <row r="117" spans="1:18">
      <c r="A117" s="1">
        <v>39775</v>
      </c>
      <c r="B117" t="s">
        <v>8</v>
      </c>
      <c r="C117">
        <v>9</v>
      </c>
      <c r="D117" s="2">
        <v>0.47916666666666669</v>
      </c>
      <c r="E117" s="2">
        <v>0.52083333333333337</v>
      </c>
      <c r="F117" s="34">
        <f t="shared" si="24"/>
        <v>18.000000000000007</v>
      </c>
      <c r="I117">
        <f t="shared" si="25"/>
        <v>0</v>
      </c>
      <c r="J117">
        <f t="shared" si="26"/>
        <v>0</v>
      </c>
      <c r="K117">
        <f t="shared" si="27"/>
        <v>18.000000000000007</v>
      </c>
      <c r="L117">
        <f t="shared" si="28"/>
        <v>0</v>
      </c>
      <c r="M117">
        <f t="shared" si="29"/>
        <v>0</v>
      </c>
      <c r="N117">
        <f t="shared" si="30"/>
        <v>0</v>
      </c>
      <c r="O117">
        <f t="shared" si="31"/>
        <v>0</v>
      </c>
      <c r="P117">
        <f t="shared" si="21"/>
        <v>0</v>
      </c>
      <c r="Q117">
        <f t="shared" si="22"/>
        <v>0</v>
      </c>
      <c r="R117">
        <f t="shared" si="23"/>
        <v>0</v>
      </c>
    </row>
    <row r="118" spans="1:18">
      <c r="A118" s="1">
        <v>39775</v>
      </c>
      <c r="B118" t="s">
        <v>8</v>
      </c>
      <c r="C118">
        <v>4</v>
      </c>
      <c r="D118" s="2">
        <v>0.52083333333333337</v>
      </c>
      <c r="E118" s="2">
        <v>0.5625</v>
      </c>
      <c r="F118" s="34">
        <f t="shared" si="24"/>
        <v>7.9999999999999929</v>
      </c>
      <c r="I118">
        <f t="shared" si="25"/>
        <v>0</v>
      </c>
      <c r="J118">
        <f t="shared" si="26"/>
        <v>0</v>
      </c>
      <c r="K118">
        <f t="shared" si="27"/>
        <v>7.9999999999999929</v>
      </c>
      <c r="L118">
        <f t="shared" si="28"/>
        <v>0</v>
      </c>
      <c r="M118">
        <f t="shared" si="29"/>
        <v>0</v>
      </c>
      <c r="N118">
        <f t="shared" si="30"/>
        <v>0</v>
      </c>
      <c r="O118">
        <f t="shared" si="31"/>
        <v>0</v>
      </c>
      <c r="P118">
        <f t="shared" si="21"/>
        <v>0</v>
      </c>
      <c r="Q118">
        <f t="shared" si="22"/>
        <v>0</v>
      </c>
      <c r="R118">
        <f t="shared" si="23"/>
        <v>0</v>
      </c>
    </row>
    <row r="119" spans="1:18">
      <c r="A119" s="1">
        <v>39776</v>
      </c>
      <c r="B119" t="s">
        <v>8</v>
      </c>
      <c r="C119">
        <v>7</v>
      </c>
      <c r="D119" s="2">
        <v>0.30208333333333331</v>
      </c>
      <c r="E119" s="2">
        <v>0.34375</v>
      </c>
      <c r="F119" s="34">
        <f t="shared" si="24"/>
        <v>14.000000000000007</v>
      </c>
      <c r="I119">
        <f t="shared" si="25"/>
        <v>0</v>
      </c>
      <c r="J119">
        <f t="shared" si="26"/>
        <v>0</v>
      </c>
      <c r="K119">
        <f t="shared" si="27"/>
        <v>14.000000000000007</v>
      </c>
      <c r="L119">
        <f t="shared" si="28"/>
        <v>0</v>
      </c>
      <c r="M119">
        <f t="shared" si="29"/>
        <v>0</v>
      </c>
      <c r="N119">
        <f t="shared" si="30"/>
        <v>0</v>
      </c>
      <c r="O119">
        <f t="shared" si="31"/>
        <v>0</v>
      </c>
      <c r="P119">
        <f t="shared" si="21"/>
        <v>0</v>
      </c>
      <c r="Q119">
        <f t="shared" si="22"/>
        <v>0</v>
      </c>
      <c r="R119">
        <f t="shared" si="23"/>
        <v>0</v>
      </c>
    </row>
    <row r="120" spans="1:18">
      <c r="A120" s="1">
        <v>39776</v>
      </c>
      <c r="B120" t="s">
        <v>0</v>
      </c>
      <c r="C120">
        <v>8</v>
      </c>
      <c r="D120" s="2">
        <v>0.72916666666666663</v>
      </c>
      <c r="E120" s="2">
        <v>0.8125</v>
      </c>
      <c r="F120" s="34">
        <f t="shared" si="24"/>
        <v>32.000000000000014</v>
      </c>
      <c r="I120">
        <f t="shared" si="25"/>
        <v>32.000000000000014</v>
      </c>
      <c r="J120">
        <f t="shared" si="26"/>
        <v>0</v>
      </c>
      <c r="K120">
        <f t="shared" si="27"/>
        <v>0</v>
      </c>
      <c r="L120">
        <f t="shared" si="28"/>
        <v>0</v>
      </c>
      <c r="M120">
        <f t="shared" si="29"/>
        <v>0</v>
      </c>
      <c r="N120">
        <f t="shared" si="30"/>
        <v>0</v>
      </c>
      <c r="O120">
        <f t="shared" si="31"/>
        <v>0</v>
      </c>
      <c r="P120">
        <f t="shared" si="21"/>
        <v>0</v>
      </c>
      <c r="Q120">
        <f t="shared" si="22"/>
        <v>0</v>
      </c>
      <c r="R120">
        <f t="shared" si="23"/>
        <v>0</v>
      </c>
    </row>
    <row r="121" spans="1:18">
      <c r="A121" s="1">
        <v>39777</v>
      </c>
      <c r="B121" t="s">
        <v>8</v>
      </c>
      <c r="C121">
        <v>8</v>
      </c>
      <c r="D121" s="2">
        <v>0.29166666666666669</v>
      </c>
      <c r="E121" s="2">
        <v>0.33333333333333331</v>
      </c>
      <c r="F121" s="34">
        <f t="shared" si="24"/>
        <v>15.999999999999986</v>
      </c>
      <c r="I121">
        <f t="shared" si="25"/>
        <v>0</v>
      </c>
      <c r="J121">
        <f t="shared" si="26"/>
        <v>0</v>
      </c>
      <c r="K121">
        <f t="shared" si="27"/>
        <v>15.999999999999986</v>
      </c>
      <c r="L121">
        <f t="shared" si="28"/>
        <v>0</v>
      </c>
      <c r="M121">
        <f t="shared" si="29"/>
        <v>0</v>
      </c>
      <c r="N121">
        <f t="shared" si="30"/>
        <v>0</v>
      </c>
      <c r="O121">
        <f t="shared" si="31"/>
        <v>0</v>
      </c>
      <c r="P121">
        <f t="shared" si="21"/>
        <v>0</v>
      </c>
      <c r="Q121">
        <f t="shared" si="22"/>
        <v>0</v>
      </c>
      <c r="R121">
        <f t="shared" si="23"/>
        <v>0</v>
      </c>
    </row>
    <row r="122" spans="1:18">
      <c r="A122" s="1">
        <v>39777</v>
      </c>
      <c r="B122" t="s">
        <v>0</v>
      </c>
      <c r="C122">
        <v>8</v>
      </c>
      <c r="D122" s="2">
        <v>0.77083333333333337</v>
      </c>
      <c r="E122" s="2">
        <v>0.8125</v>
      </c>
      <c r="F122" s="34">
        <f t="shared" si="24"/>
        <v>15.999999999999986</v>
      </c>
      <c r="I122">
        <f t="shared" si="25"/>
        <v>15.999999999999986</v>
      </c>
      <c r="J122">
        <f t="shared" si="26"/>
        <v>0</v>
      </c>
      <c r="K122">
        <f t="shared" si="27"/>
        <v>0</v>
      </c>
      <c r="L122">
        <f t="shared" si="28"/>
        <v>0</v>
      </c>
      <c r="M122">
        <f t="shared" si="29"/>
        <v>0</v>
      </c>
      <c r="N122">
        <f t="shared" si="30"/>
        <v>0</v>
      </c>
      <c r="O122">
        <f t="shared" si="31"/>
        <v>0</v>
      </c>
      <c r="P122">
        <f t="shared" si="21"/>
        <v>0</v>
      </c>
      <c r="Q122">
        <f t="shared" si="22"/>
        <v>0</v>
      </c>
      <c r="R122">
        <f t="shared" si="23"/>
        <v>0</v>
      </c>
    </row>
    <row r="123" spans="1:18">
      <c r="A123" s="1">
        <v>39777</v>
      </c>
      <c r="B123" t="s">
        <v>8</v>
      </c>
      <c r="C123">
        <v>8</v>
      </c>
      <c r="D123" s="2">
        <v>0.83333333333333337</v>
      </c>
      <c r="E123" s="2">
        <v>0.875</v>
      </c>
      <c r="F123" s="34">
        <f t="shared" si="24"/>
        <v>15.999999999999986</v>
      </c>
      <c r="I123">
        <f t="shared" si="25"/>
        <v>0</v>
      </c>
      <c r="J123">
        <f t="shared" si="26"/>
        <v>0</v>
      </c>
      <c r="K123">
        <f t="shared" si="27"/>
        <v>15.999999999999986</v>
      </c>
      <c r="L123">
        <f t="shared" si="28"/>
        <v>0</v>
      </c>
      <c r="M123">
        <f t="shared" si="29"/>
        <v>0</v>
      </c>
      <c r="N123">
        <f t="shared" si="30"/>
        <v>0</v>
      </c>
      <c r="O123">
        <f t="shared" si="31"/>
        <v>0</v>
      </c>
      <c r="P123">
        <f t="shared" si="21"/>
        <v>0</v>
      </c>
      <c r="Q123">
        <f t="shared" si="22"/>
        <v>0</v>
      </c>
      <c r="R123">
        <f t="shared" si="23"/>
        <v>0</v>
      </c>
    </row>
    <row r="124" spans="1:18">
      <c r="A124" s="1">
        <v>39778</v>
      </c>
      <c r="B124" t="s">
        <v>8</v>
      </c>
      <c r="C124">
        <v>8</v>
      </c>
      <c r="D124" s="2">
        <v>0.30208333333333331</v>
      </c>
      <c r="E124" s="2">
        <v>0.34375</v>
      </c>
      <c r="F124" s="34">
        <f t="shared" si="24"/>
        <v>16.000000000000007</v>
      </c>
      <c r="I124">
        <f t="shared" si="25"/>
        <v>0</v>
      </c>
      <c r="J124">
        <f t="shared" si="26"/>
        <v>0</v>
      </c>
      <c r="K124">
        <f t="shared" si="27"/>
        <v>16.000000000000007</v>
      </c>
      <c r="L124">
        <f t="shared" si="28"/>
        <v>0</v>
      </c>
      <c r="M124">
        <f t="shared" si="29"/>
        <v>0</v>
      </c>
      <c r="N124">
        <f t="shared" si="30"/>
        <v>0</v>
      </c>
      <c r="O124">
        <f t="shared" si="31"/>
        <v>0</v>
      </c>
      <c r="P124">
        <f t="shared" si="21"/>
        <v>0</v>
      </c>
      <c r="Q124">
        <f t="shared" si="22"/>
        <v>0</v>
      </c>
      <c r="R124">
        <f t="shared" si="23"/>
        <v>0</v>
      </c>
    </row>
    <row r="125" spans="1:18">
      <c r="A125" s="1">
        <v>39779</v>
      </c>
      <c r="B125" t="s">
        <v>7</v>
      </c>
      <c r="C125">
        <v>8</v>
      </c>
      <c r="D125" s="2">
        <v>0.75</v>
      </c>
      <c r="E125" s="2">
        <v>0.79166666666666663</v>
      </c>
      <c r="F125" s="34">
        <f t="shared" si="24"/>
        <v>15.999999999999986</v>
      </c>
      <c r="I125">
        <f t="shared" si="25"/>
        <v>0</v>
      </c>
      <c r="J125">
        <f t="shared" si="26"/>
        <v>15.999999999999986</v>
      </c>
      <c r="K125">
        <f t="shared" si="27"/>
        <v>0</v>
      </c>
      <c r="L125">
        <f t="shared" si="28"/>
        <v>0</v>
      </c>
      <c r="M125">
        <f t="shared" si="29"/>
        <v>0</v>
      </c>
      <c r="N125">
        <f t="shared" si="30"/>
        <v>0</v>
      </c>
      <c r="O125">
        <f t="shared" si="31"/>
        <v>0</v>
      </c>
      <c r="P125">
        <f t="shared" si="21"/>
        <v>0</v>
      </c>
      <c r="Q125">
        <f t="shared" si="22"/>
        <v>0</v>
      </c>
      <c r="R125">
        <f t="shared" si="23"/>
        <v>0</v>
      </c>
    </row>
    <row r="126" spans="1:18">
      <c r="A126" s="1">
        <v>39780</v>
      </c>
      <c r="B126" t="s">
        <v>8</v>
      </c>
      <c r="C126">
        <v>6</v>
      </c>
      <c r="D126" s="2">
        <v>0.30208333333333331</v>
      </c>
      <c r="E126" s="2">
        <v>0.34375</v>
      </c>
      <c r="F126" s="34">
        <f t="shared" si="24"/>
        <v>12.000000000000005</v>
      </c>
      <c r="I126">
        <f t="shared" si="25"/>
        <v>0</v>
      </c>
      <c r="J126">
        <f t="shared" si="26"/>
        <v>0</v>
      </c>
      <c r="K126">
        <f t="shared" si="27"/>
        <v>12.000000000000005</v>
      </c>
      <c r="L126">
        <f t="shared" si="28"/>
        <v>0</v>
      </c>
      <c r="M126">
        <f t="shared" si="29"/>
        <v>0</v>
      </c>
      <c r="N126">
        <f t="shared" si="30"/>
        <v>0</v>
      </c>
      <c r="O126">
        <f t="shared" si="31"/>
        <v>0</v>
      </c>
      <c r="P126">
        <f t="shared" si="21"/>
        <v>0</v>
      </c>
      <c r="Q126">
        <f t="shared" si="22"/>
        <v>0</v>
      </c>
      <c r="R126">
        <f t="shared" si="23"/>
        <v>0</v>
      </c>
    </row>
    <row r="127" spans="1:18">
      <c r="A127" s="1">
        <v>39780</v>
      </c>
      <c r="B127" t="s">
        <v>8</v>
      </c>
      <c r="C127">
        <v>6</v>
      </c>
      <c r="D127" s="2">
        <v>0.58333333333333337</v>
      </c>
      <c r="E127" s="2">
        <v>0.625</v>
      </c>
      <c r="F127" s="34">
        <f t="shared" si="24"/>
        <v>11.999999999999989</v>
      </c>
      <c r="I127">
        <f t="shared" si="25"/>
        <v>0</v>
      </c>
      <c r="J127">
        <f t="shared" si="26"/>
        <v>0</v>
      </c>
      <c r="K127">
        <f t="shared" si="27"/>
        <v>11.999999999999989</v>
      </c>
      <c r="L127">
        <f t="shared" si="28"/>
        <v>0</v>
      </c>
      <c r="M127">
        <f t="shared" si="29"/>
        <v>0</v>
      </c>
      <c r="N127">
        <f t="shared" si="30"/>
        <v>0</v>
      </c>
      <c r="O127">
        <f t="shared" si="31"/>
        <v>0</v>
      </c>
      <c r="P127">
        <f t="shared" si="21"/>
        <v>0</v>
      </c>
      <c r="Q127">
        <f t="shared" si="22"/>
        <v>0</v>
      </c>
      <c r="R127">
        <f t="shared" si="23"/>
        <v>0</v>
      </c>
    </row>
    <row r="128" spans="1:18">
      <c r="A128" s="1">
        <v>39780</v>
      </c>
      <c r="B128" t="s">
        <v>0</v>
      </c>
      <c r="C128">
        <v>8</v>
      </c>
      <c r="D128" s="2">
        <v>0.72916666666666663</v>
      </c>
      <c r="E128" s="2">
        <v>0.8125</v>
      </c>
      <c r="F128" s="34">
        <f t="shared" si="24"/>
        <v>32.000000000000014</v>
      </c>
      <c r="I128">
        <f t="shared" si="25"/>
        <v>32.000000000000014</v>
      </c>
      <c r="J128">
        <f t="shared" si="26"/>
        <v>0</v>
      </c>
      <c r="K128">
        <f t="shared" si="27"/>
        <v>0</v>
      </c>
      <c r="L128">
        <f t="shared" si="28"/>
        <v>0</v>
      </c>
      <c r="M128">
        <f t="shared" si="29"/>
        <v>0</v>
      </c>
      <c r="N128">
        <f t="shared" si="30"/>
        <v>0</v>
      </c>
      <c r="O128">
        <f t="shared" si="31"/>
        <v>0</v>
      </c>
      <c r="P128">
        <f t="shared" si="21"/>
        <v>0</v>
      </c>
      <c r="Q128">
        <f t="shared" si="22"/>
        <v>0</v>
      </c>
      <c r="R128">
        <f t="shared" si="23"/>
        <v>0</v>
      </c>
    </row>
    <row r="129" spans="1:18">
      <c r="A129" s="1">
        <v>39782</v>
      </c>
      <c r="B129" t="s">
        <v>8</v>
      </c>
      <c r="C129">
        <v>8</v>
      </c>
      <c r="D129" s="2">
        <v>0.47916666666666669</v>
      </c>
      <c r="E129" s="2">
        <v>0.52083333333333337</v>
      </c>
      <c r="F129" s="34">
        <f t="shared" si="24"/>
        <v>16.000000000000007</v>
      </c>
      <c r="I129">
        <f t="shared" si="25"/>
        <v>0</v>
      </c>
      <c r="J129">
        <f t="shared" si="26"/>
        <v>0</v>
      </c>
      <c r="K129">
        <f t="shared" si="27"/>
        <v>16.000000000000007</v>
      </c>
      <c r="L129">
        <f t="shared" si="28"/>
        <v>0</v>
      </c>
      <c r="M129">
        <f t="shared" si="29"/>
        <v>0</v>
      </c>
      <c r="N129">
        <f t="shared" si="30"/>
        <v>0</v>
      </c>
      <c r="O129">
        <f t="shared" si="31"/>
        <v>0</v>
      </c>
      <c r="P129">
        <f t="shared" si="21"/>
        <v>0</v>
      </c>
      <c r="Q129">
        <f t="shared" si="22"/>
        <v>0</v>
      </c>
      <c r="R129">
        <f t="shared" si="23"/>
        <v>0</v>
      </c>
    </row>
    <row r="130" spans="1:18">
      <c r="A130" s="1">
        <v>39783</v>
      </c>
      <c r="B130" t="s">
        <v>8</v>
      </c>
      <c r="C130">
        <v>8</v>
      </c>
      <c r="D130" s="2">
        <v>0.30208333333333331</v>
      </c>
      <c r="E130" s="2">
        <v>0.34375</v>
      </c>
      <c r="F130" s="34">
        <f t="shared" si="24"/>
        <v>16.000000000000007</v>
      </c>
      <c r="I130">
        <f t="shared" si="25"/>
        <v>0</v>
      </c>
      <c r="J130">
        <f t="shared" si="26"/>
        <v>0</v>
      </c>
      <c r="K130">
        <f t="shared" si="27"/>
        <v>16.000000000000007</v>
      </c>
      <c r="L130">
        <f t="shared" si="28"/>
        <v>0</v>
      </c>
      <c r="M130">
        <f t="shared" si="29"/>
        <v>0</v>
      </c>
      <c r="N130">
        <f t="shared" si="30"/>
        <v>0</v>
      </c>
      <c r="O130">
        <f t="shared" si="31"/>
        <v>0</v>
      </c>
      <c r="P130">
        <f t="shared" si="21"/>
        <v>0</v>
      </c>
      <c r="Q130">
        <f t="shared" si="22"/>
        <v>0</v>
      </c>
      <c r="R130">
        <f t="shared" si="23"/>
        <v>0</v>
      </c>
    </row>
    <row r="131" spans="1:18">
      <c r="A131" s="1">
        <v>39783</v>
      </c>
      <c r="B131" t="s">
        <v>0</v>
      </c>
      <c r="C131">
        <v>8</v>
      </c>
      <c r="D131" s="2">
        <v>0.72916666666666663</v>
      </c>
      <c r="E131" s="2">
        <v>0.8125</v>
      </c>
      <c r="F131" s="34">
        <f t="shared" si="24"/>
        <v>32.000000000000014</v>
      </c>
      <c r="I131">
        <f t="shared" si="25"/>
        <v>32.000000000000014</v>
      </c>
      <c r="J131">
        <f t="shared" si="26"/>
        <v>0</v>
      </c>
      <c r="K131">
        <f t="shared" si="27"/>
        <v>0</v>
      </c>
      <c r="L131">
        <f t="shared" si="28"/>
        <v>0</v>
      </c>
      <c r="M131">
        <f t="shared" si="29"/>
        <v>0</v>
      </c>
      <c r="N131">
        <f t="shared" si="30"/>
        <v>0</v>
      </c>
      <c r="O131">
        <f t="shared" si="31"/>
        <v>0</v>
      </c>
      <c r="P131">
        <f t="shared" si="21"/>
        <v>0</v>
      </c>
      <c r="Q131">
        <f t="shared" si="22"/>
        <v>0</v>
      </c>
      <c r="R131">
        <f t="shared" si="23"/>
        <v>0</v>
      </c>
    </row>
    <row r="132" spans="1:18">
      <c r="A132" s="1">
        <v>39784</v>
      </c>
      <c r="B132" t="s">
        <v>0</v>
      </c>
      <c r="C132">
        <v>8</v>
      </c>
      <c r="D132" s="2">
        <v>0.77083333333333337</v>
      </c>
      <c r="E132" s="2">
        <v>0.8125</v>
      </c>
      <c r="F132" s="34">
        <f t="shared" si="24"/>
        <v>15.999999999999986</v>
      </c>
      <c r="I132">
        <f t="shared" si="25"/>
        <v>15.999999999999986</v>
      </c>
      <c r="J132">
        <f t="shared" si="26"/>
        <v>0</v>
      </c>
      <c r="K132">
        <f t="shared" si="27"/>
        <v>0</v>
      </c>
      <c r="L132">
        <f t="shared" si="28"/>
        <v>0</v>
      </c>
      <c r="M132">
        <f t="shared" si="29"/>
        <v>0</v>
      </c>
      <c r="N132">
        <f t="shared" si="30"/>
        <v>0</v>
      </c>
      <c r="O132">
        <f t="shared" si="31"/>
        <v>0</v>
      </c>
      <c r="P132">
        <f t="shared" si="21"/>
        <v>0</v>
      </c>
      <c r="Q132">
        <f t="shared" si="22"/>
        <v>0</v>
      </c>
      <c r="R132">
        <f t="shared" si="23"/>
        <v>0</v>
      </c>
    </row>
    <row r="133" spans="1:18">
      <c r="A133" s="1">
        <v>39784</v>
      </c>
      <c r="B133" t="s">
        <v>7</v>
      </c>
      <c r="C133">
        <v>1</v>
      </c>
      <c r="D133" s="2">
        <v>0.875</v>
      </c>
      <c r="E133" s="2">
        <v>0.91666666666666663</v>
      </c>
      <c r="F133" s="34">
        <f t="shared" si="24"/>
        <v>1.9999999999999982</v>
      </c>
      <c r="I133">
        <f t="shared" si="25"/>
        <v>0</v>
      </c>
      <c r="J133">
        <f t="shared" si="26"/>
        <v>1.9999999999999982</v>
      </c>
      <c r="K133">
        <f t="shared" si="27"/>
        <v>0</v>
      </c>
      <c r="L133">
        <f t="shared" si="28"/>
        <v>0</v>
      </c>
      <c r="M133">
        <f t="shared" si="29"/>
        <v>0</v>
      </c>
      <c r="N133">
        <f t="shared" si="30"/>
        <v>0</v>
      </c>
      <c r="O133">
        <f t="shared" si="31"/>
        <v>0</v>
      </c>
      <c r="P133">
        <f t="shared" si="21"/>
        <v>0</v>
      </c>
      <c r="Q133">
        <f t="shared" si="22"/>
        <v>0</v>
      </c>
      <c r="R133">
        <f t="shared" si="23"/>
        <v>0</v>
      </c>
    </row>
    <row r="134" spans="1:18">
      <c r="A134" s="1">
        <v>39786</v>
      </c>
      <c r="B134" t="s">
        <v>7</v>
      </c>
      <c r="C134">
        <v>4</v>
      </c>
      <c r="D134" s="2">
        <v>0.75</v>
      </c>
      <c r="E134" s="2">
        <v>0.79166666666666663</v>
      </c>
      <c r="F134" s="34">
        <f t="shared" si="24"/>
        <v>7.9999999999999929</v>
      </c>
      <c r="I134">
        <f t="shared" si="25"/>
        <v>0</v>
      </c>
      <c r="J134">
        <f t="shared" si="26"/>
        <v>7.9999999999999929</v>
      </c>
      <c r="K134">
        <f t="shared" si="27"/>
        <v>0</v>
      </c>
      <c r="L134">
        <f t="shared" si="28"/>
        <v>0</v>
      </c>
      <c r="M134">
        <f t="shared" si="29"/>
        <v>0</v>
      </c>
      <c r="N134">
        <f t="shared" si="30"/>
        <v>0</v>
      </c>
      <c r="O134">
        <f t="shared" si="31"/>
        <v>0</v>
      </c>
      <c r="P134">
        <f t="shared" si="21"/>
        <v>0</v>
      </c>
      <c r="Q134">
        <f t="shared" si="22"/>
        <v>0</v>
      </c>
      <c r="R134">
        <f t="shared" si="23"/>
        <v>0</v>
      </c>
    </row>
    <row r="135" spans="1:18">
      <c r="A135" s="1">
        <v>39787</v>
      </c>
      <c r="B135" t="s">
        <v>0</v>
      </c>
      <c r="C135">
        <v>8</v>
      </c>
      <c r="D135" s="2">
        <v>0.72916666666666663</v>
      </c>
      <c r="E135" s="2">
        <v>0.8125</v>
      </c>
      <c r="F135" s="34">
        <f t="shared" si="24"/>
        <v>32.000000000000014</v>
      </c>
      <c r="I135">
        <f t="shared" si="25"/>
        <v>32.000000000000014</v>
      </c>
      <c r="J135">
        <f t="shared" si="26"/>
        <v>0</v>
      </c>
      <c r="K135">
        <f t="shared" si="27"/>
        <v>0</v>
      </c>
      <c r="L135">
        <f t="shared" si="28"/>
        <v>0</v>
      </c>
      <c r="M135">
        <f t="shared" si="29"/>
        <v>0</v>
      </c>
      <c r="N135">
        <f t="shared" si="30"/>
        <v>0</v>
      </c>
      <c r="O135">
        <f t="shared" si="31"/>
        <v>0</v>
      </c>
      <c r="P135">
        <f t="shared" si="21"/>
        <v>0</v>
      </c>
      <c r="Q135">
        <f t="shared" si="22"/>
        <v>0</v>
      </c>
      <c r="R135">
        <f t="shared" si="23"/>
        <v>0</v>
      </c>
    </row>
    <row r="136" spans="1:18">
      <c r="A136" s="1">
        <v>39790</v>
      </c>
      <c r="B136" t="s">
        <v>0</v>
      </c>
      <c r="C136">
        <v>8</v>
      </c>
      <c r="D136" s="2">
        <v>0.72916666666666663</v>
      </c>
      <c r="E136" s="2">
        <v>0.8125</v>
      </c>
      <c r="F136" s="34">
        <f t="shared" si="24"/>
        <v>32.000000000000014</v>
      </c>
      <c r="I136">
        <f t="shared" si="25"/>
        <v>32.000000000000014</v>
      </c>
      <c r="J136">
        <f t="shared" si="26"/>
        <v>0</v>
      </c>
      <c r="K136">
        <f t="shared" si="27"/>
        <v>0</v>
      </c>
      <c r="L136">
        <f t="shared" si="28"/>
        <v>0</v>
      </c>
      <c r="M136">
        <f t="shared" si="29"/>
        <v>0</v>
      </c>
      <c r="N136">
        <f t="shared" si="30"/>
        <v>0</v>
      </c>
      <c r="O136">
        <f t="shared" si="31"/>
        <v>0</v>
      </c>
      <c r="P136">
        <f t="shared" si="21"/>
        <v>0</v>
      </c>
      <c r="Q136">
        <f t="shared" si="22"/>
        <v>0</v>
      </c>
      <c r="R136">
        <f t="shared" si="23"/>
        <v>0</v>
      </c>
    </row>
    <row r="137" spans="1:18">
      <c r="A137" s="1">
        <v>39791</v>
      </c>
      <c r="B137" t="s">
        <v>7</v>
      </c>
      <c r="C137">
        <v>2</v>
      </c>
      <c r="D137" s="2">
        <v>0.72916666666666663</v>
      </c>
      <c r="E137" s="2">
        <v>0.77083333333333337</v>
      </c>
      <c r="F137" s="34">
        <f t="shared" si="24"/>
        <v>4.0000000000000071</v>
      </c>
      <c r="I137">
        <f t="shared" si="25"/>
        <v>0</v>
      </c>
      <c r="J137">
        <f t="shared" si="26"/>
        <v>4.0000000000000071</v>
      </c>
      <c r="K137">
        <f t="shared" si="27"/>
        <v>0</v>
      </c>
      <c r="L137">
        <f t="shared" si="28"/>
        <v>0</v>
      </c>
      <c r="M137">
        <f t="shared" si="29"/>
        <v>0</v>
      </c>
      <c r="N137">
        <f t="shared" si="30"/>
        <v>0</v>
      </c>
      <c r="O137">
        <f t="shared" si="31"/>
        <v>0</v>
      </c>
      <c r="P137">
        <f t="shared" si="21"/>
        <v>0</v>
      </c>
      <c r="Q137">
        <f t="shared" si="22"/>
        <v>0</v>
      </c>
      <c r="R137">
        <f t="shared" si="23"/>
        <v>0</v>
      </c>
    </row>
    <row r="138" spans="1:18">
      <c r="A138" s="1">
        <v>39791</v>
      </c>
      <c r="B138" t="s">
        <v>0</v>
      </c>
      <c r="C138">
        <v>8</v>
      </c>
      <c r="D138" s="2">
        <v>0.77083333333333337</v>
      </c>
      <c r="E138" s="2">
        <v>0.8125</v>
      </c>
      <c r="F138" s="34">
        <f t="shared" si="24"/>
        <v>15.999999999999986</v>
      </c>
      <c r="I138">
        <f t="shared" si="25"/>
        <v>15.999999999999986</v>
      </c>
      <c r="J138">
        <f t="shared" si="26"/>
        <v>0</v>
      </c>
      <c r="K138">
        <f t="shared" si="27"/>
        <v>0</v>
      </c>
      <c r="L138">
        <f t="shared" si="28"/>
        <v>0</v>
      </c>
      <c r="M138">
        <f t="shared" si="29"/>
        <v>0</v>
      </c>
      <c r="N138">
        <f t="shared" si="30"/>
        <v>0</v>
      </c>
      <c r="O138">
        <f t="shared" si="31"/>
        <v>0</v>
      </c>
      <c r="P138">
        <f t="shared" si="21"/>
        <v>0</v>
      </c>
      <c r="Q138">
        <f t="shared" si="22"/>
        <v>0</v>
      </c>
      <c r="R138">
        <f t="shared" si="23"/>
        <v>0</v>
      </c>
    </row>
    <row r="139" spans="1:18">
      <c r="A139" s="1">
        <v>39793</v>
      </c>
      <c r="B139" t="s">
        <v>7</v>
      </c>
      <c r="C139">
        <v>3</v>
      </c>
      <c r="D139" s="2">
        <v>0.75</v>
      </c>
      <c r="E139" s="2">
        <v>0.79166666666666663</v>
      </c>
      <c r="F139" s="34">
        <f t="shared" si="24"/>
        <v>5.9999999999999947</v>
      </c>
      <c r="I139">
        <f t="shared" si="25"/>
        <v>0</v>
      </c>
      <c r="J139">
        <f t="shared" si="26"/>
        <v>5.9999999999999947</v>
      </c>
      <c r="K139">
        <f t="shared" si="27"/>
        <v>0</v>
      </c>
      <c r="L139">
        <f t="shared" si="28"/>
        <v>0</v>
      </c>
      <c r="M139">
        <f t="shared" si="29"/>
        <v>0</v>
      </c>
      <c r="N139">
        <f t="shared" si="30"/>
        <v>0</v>
      </c>
      <c r="O139">
        <f t="shared" si="31"/>
        <v>0</v>
      </c>
      <c r="P139">
        <f t="shared" si="21"/>
        <v>0</v>
      </c>
      <c r="Q139">
        <f t="shared" si="22"/>
        <v>0</v>
      </c>
      <c r="R139">
        <f t="shared" si="23"/>
        <v>0</v>
      </c>
    </row>
    <row r="140" spans="1:18">
      <c r="A140" s="1">
        <v>39794</v>
      </c>
      <c r="B140" t="s">
        <v>0</v>
      </c>
      <c r="C140">
        <v>8</v>
      </c>
      <c r="D140" s="2">
        <v>0.72916666666666663</v>
      </c>
      <c r="E140" s="2">
        <v>0.8125</v>
      </c>
      <c r="F140" s="34">
        <f t="shared" si="24"/>
        <v>32.000000000000014</v>
      </c>
      <c r="I140">
        <f t="shared" si="25"/>
        <v>32.000000000000014</v>
      </c>
      <c r="J140">
        <f t="shared" si="26"/>
        <v>0</v>
      </c>
      <c r="K140">
        <f t="shared" si="27"/>
        <v>0</v>
      </c>
      <c r="L140">
        <f t="shared" si="28"/>
        <v>0</v>
      </c>
      <c r="M140">
        <f t="shared" si="29"/>
        <v>0</v>
      </c>
      <c r="N140">
        <f t="shared" si="30"/>
        <v>0</v>
      </c>
      <c r="O140">
        <f t="shared" si="31"/>
        <v>0</v>
      </c>
      <c r="P140">
        <f t="shared" si="21"/>
        <v>0</v>
      </c>
      <c r="Q140">
        <f t="shared" si="22"/>
        <v>0</v>
      </c>
      <c r="R140">
        <f t="shared" si="23"/>
        <v>0</v>
      </c>
    </row>
    <row r="141" spans="1:18">
      <c r="A141" s="1">
        <v>39797</v>
      </c>
      <c r="B141" t="s">
        <v>0</v>
      </c>
      <c r="C141">
        <v>8</v>
      </c>
      <c r="D141" s="2">
        <v>0.72916666666666663</v>
      </c>
      <c r="E141" s="2">
        <v>0.8125</v>
      </c>
      <c r="F141" s="34">
        <f t="shared" si="24"/>
        <v>32.000000000000014</v>
      </c>
      <c r="I141">
        <f t="shared" si="25"/>
        <v>32.000000000000014</v>
      </c>
      <c r="J141">
        <f t="shared" si="26"/>
        <v>0</v>
      </c>
      <c r="K141">
        <f t="shared" si="27"/>
        <v>0</v>
      </c>
      <c r="L141">
        <f t="shared" si="28"/>
        <v>0</v>
      </c>
      <c r="M141">
        <f t="shared" si="29"/>
        <v>0</v>
      </c>
      <c r="N141">
        <f t="shared" si="30"/>
        <v>0</v>
      </c>
      <c r="O141">
        <f t="shared" si="31"/>
        <v>0</v>
      </c>
      <c r="P141">
        <f t="shared" ref="P141:P204" si="32">IF(($B141=I$1),($F141),(0))</f>
        <v>0</v>
      </c>
      <c r="Q141">
        <f t="shared" ref="Q141:Q204" si="33">IF(($B141=J$1),($F141),(0))</f>
        <v>0</v>
      </c>
      <c r="R141">
        <f t="shared" ref="R141:R204" si="34">IF(($B141=K$1),($F141),(0))</f>
        <v>0</v>
      </c>
    </row>
    <row r="142" spans="1:18">
      <c r="A142" s="1">
        <v>39798</v>
      </c>
      <c r="B142" t="s">
        <v>0</v>
      </c>
      <c r="C142">
        <v>8</v>
      </c>
      <c r="D142" s="2">
        <v>0.77083333333333337</v>
      </c>
      <c r="E142" s="2">
        <v>0.8125</v>
      </c>
      <c r="F142" s="34">
        <f t="shared" si="24"/>
        <v>15.999999999999986</v>
      </c>
      <c r="I142">
        <f t="shared" si="25"/>
        <v>15.999999999999986</v>
      </c>
      <c r="J142">
        <f t="shared" si="26"/>
        <v>0</v>
      </c>
      <c r="K142">
        <f t="shared" si="27"/>
        <v>0</v>
      </c>
      <c r="L142">
        <f t="shared" si="28"/>
        <v>0</v>
      </c>
      <c r="M142">
        <f t="shared" si="29"/>
        <v>0</v>
      </c>
      <c r="N142">
        <f t="shared" si="30"/>
        <v>0</v>
      </c>
      <c r="O142">
        <f t="shared" si="31"/>
        <v>0</v>
      </c>
      <c r="P142">
        <f t="shared" si="32"/>
        <v>0</v>
      </c>
      <c r="Q142">
        <f t="shared" si="33"/>
        <v>0</v>
      </c>
      <c r="R142">
        <f t="shared" si="34"/>
        <v>0</v>
      </c>
    </row>
    <row r="143" spans="1:18">
      <c r="A143" s="1">
        <v>39800</v>
      </c>
      <c r="B143" t="s">
        <v>7</v>
      </c>
      <c r="C143">
        <v>4</v>
      </c>
      <c r="D143" s="2">
        <v>0.75</v>
      </c>
      <c r="E143" s="2">
        <v>0.79166666666666663</v>
      </c>
      <c r="F143" s="34">
        <f t="shared" ref="F143:F164" si="35">C143*(E143-D143)*2*24</f>
        <v>7.9999999999999929</v>
      </c>
      <c r="I143">
        <f t="shared" si="25"/>
        <v>0</v>
      </c>
      <c r="J143">
        <f t="shared" si="26"/>
        <v>7.9999999999999929</v>
      </c>
      <c r="K143">
        <f t="shared" si="27"/>
        <v>0</v>
      </c>
      <c r="L143">
        <f t="shared" si="28"/>
        <v>0</v>
      </c>
      <c r="M143">
        <f t="shared" si="29"/>
        <v>0</v>
      </c>
      <c r="N143">
        <f t="shared" si="30"/>
        <v>0</v>
      </c>
      <c r="O143">
        <f t="shared" si="31"/>
        <v>0</v>
      </c>
      <c r="P143">
        <f t="shared" si="32"/>
        <v>0</v>
      </c>
      <c r="Q143">
        <f t="shared" si="33"/>
        <v>0</v>
      </c>
      <c r="R143">
        <f t="shared" si="34"/>
        <v>0</v>
      </c>
    </row>
    <row r="144" spans="1:18">
      <c r="A144" s="1">
        <v>39801</v>
      </c>
      <c r="B144" t="s">
        <v>0</v>
      </c>
      <c r="C144">
        <v>8</v>
      </c>
      <c r="D144" s="2">
        <v>0.72916666666666663</v>
      </c>
      <c r="E144" s="2">
        <v>0.8125</v>
      </c>
      <c r="F144" s="34">
        <f t="shared" si="35"/>
        <v>32.000000000000014</v>
      </c>
      <c r="I144">
        <f t="shared" si="25"/>
        <v>32.000000000000014</v>
      </c>
      <c r="J144">
        <f t="shared" si="26"/>
        <v>0</v>
      </c>
      <c r="K144">
        <f t="shared" si="27"/>
        <v>0</v>
      </c>
      <c r="L144">
        <f t="shared" si="28"/>
        <v>0</v>
      </c>
      <c r="M144">
        <f t="shared" si="29"/>
        <v>0</v>
      </c>
      <c r="N144">
        <f t="shared" si="30"/>
        <v>0</v>
      </c>
      <c r="O144">
        <f t="shared" si="31"/>
        <v>0</v>
      </c>
      <c r="P144">
        <f t="shared" si="32"/>
        <v>0</v>
      </c>
      <c r="Q144">
        <f t="shared" si="33"/>
        <v>0</v>
      </c>
      <c r="R144">
        <f t="shared" si="34"/>
        <v>0</v>
      </c>
    </row>
    <row r="145" spans="1:18">
      <c r="A145" s="1">
        <v>39819</v>
      </c>
      <c r="B145" t="s">
        <v>0</v>
      </c>
      <c r="C145">
        <v>1</v>
      </c>
      <c r="D145" s="2">
        <v>0.58333333333333337</v>
      </c>
      <c r="E145" s="2">
        <v>0.59375</v>
      </c>
      <c r="F145" s="34">
        <f t="shared" si="35"/>
        <v>0.49999999999999822</v>
      </c>
      <c r="I145">
        <f t="shared" si="25"/>
        <v>0.49999999999999822</v>
      </c>
      <c r="J145">
        <f t="shared" si="26"/>
        <v>0</v>
      </c>
      <c r="K145">
        <f t="shared" si="27"/>
        <v>0</v>
      </c>
      <c r="L145">
        <f t="shared" si="28"/>
        <v>0</v>
      </c>
      <c r="M145">
        <f t="shared" si="29"/>
        <v>0</v>
      </c>
      <c r="N145">
        <f t="shared" si="30"/>
        <v>0</v>
      </c>
      <c r="O145">
        <f t="shared" si="31"/>
        <v>0</v>
      </c>
      <c r="P145">
        <f t="shared" si="32"/>
        <v>0</v>
      </c>
      <c r="Q145">
        <f t="shared" si="33"/>
        <v>0</v>
      </c>
      <c r="R145">
        <f t="shared" si="34"/>
        <v>0</v>
      </c>
    </row>
    <row r="146" spans="1:18">
      <c r="A146" s="1">
        <v>39819</v>
      </c>
      <c r="B146" t="s">
        <v>0</v>
      </c>
      <c r="C146">
        <v>3</v>
      </c>
      <c r="D146" s="2">
        <v>0.77083333333333337</v>
      </c>
      <c r="E146" s="2">
        <v>0.8125</v>
      </c>
      <c r="F146" s="34">
        <f t="shared" si="35"/>
        <v>5.9999999999999947</v>
      </c>
      <c r="I146">
        <f t="shared" si="25"/>
        <v>5.9999999999999947</v>
      </c>
      <c r="J146">
        <f t="shared" si="26"/>
        <v>0</v>
      </c>
      <c r="K146">
        <f t="shared" si="27"/>
        <v>0</v>
      </c>
      <c r="L146">
        <f t="shared" si="28"/>
        <v>0</v>
      </c>
      <c r="M146">
        <f t="shared" si="29"/>
        <v>0</v>
      </c>
      <c r="N146">
        <f t="shared" si="30"/>
        <v>0</v>
      </c>
      <c r="O146">
        <f t="shared" si="31"/>
        <v>0</v>
      </c>
      <c r="P146">
        <f t="shared" si="32"/>
        <v>0</v>
      </c>
      <c r="Q146">
        <f t="shared" si="33"/>
        <v>0</v>
      </c>
      <c r="R146">
        <f t="shared" si="34"/>
        <v>0</v>
      </c>
    </row>
    <row r="147" spans="1:18">
      <c r="A147" s="1">
        <v>39819</v>
      </c>
      <c r="B147" t="s">
        <v>7</v>
      </c>
      <c r="C147">
        <v>1</v>
      </c>
      <c r="D147" s="2">
        <v>0.77083333333333337</v>
      </c>
      <c r="E147" s="2">
        <v>0.8125</v>
      </c>
      <c r="F147" s="34">
        <f t="shared" si="35"/>
        <v>1.9999999999999982</v>
      </c>
      <c r="I147">
        <f t="shared" si="25"/>
        <v>0</v>
      </c>
      <c r="J147">
        <f t="shared" si="26"/>
        <v>1.9999999999999982</v>
      </c>
      <c r="K147">
        <f t="shared" si="27"/>
        <v>0</v>
      </c>
      <c r="L147">
        <f t="shared" si="28"/>
        <v>0</v>
      </c>
      <c r="M147">
        <f t="shared" si="29"/>
        <v>0</v>
      </c>
      <c r="N147">
        <f t="shared" si="30"/>
        <v>0</v>
      </c>
      <c r="O147">
        <f t="shared" si="31"/>
        <v>0</v>
      </c>
      <c r="P147">
        <f t="shared" si="32"/>
        <v>0</v>
      </c>
      <c r="Q147">
        <f t="shared" si="33"/>
        <v>0</v>
      </c>
      <c r="R147">
        <f t="shared" si="34"/>
        <v>0</v>
      </c>
    </row>
    <row r="148" spans="1:18">
      <c r="A148" s="1">
        <v>39819</v>
      </c>
      <c r="B148" t="s">
        <v>7</v>
      </c>
      <c r="C148">
        <v>1</v>
      </c>
      <c r="D148" s="2">
        <v>0.78125</v>
      </c>
      <c r="E148" s="2">
        <v>0.79166666666666663</v>
      </c>
      <c r="F148" s="34">
        <f t="shared" si="35"/>
        <v>0.49999999999999822</v>
      </c>
      <c r="I148">
        <f t="shared" si="25"/>
        <v>0</v>
      </c>
      <c r="J148">
        <f t="shared" si="26"/>
        <v>0.49999999999999822</v>
      </c>
      <c r="K148">
        <f t="shared" si="27"/>
        <v>0</v>
      </c>
      <c r="L148">
        <f t="shared" si="28"/>
        <v>0</v>
      </c>
      <c r="M148">
        <f t="shared" si="29"/>
        <v>0</v>
      </c>
      <c r="N148">
        <f t="shared" si="30"/>
        <v>0</v>
      </c>
      <c r="O148">
        <f t="shared" si="31"/>
        <v>0</v>
      </c>
      <c r="P148">
        <f t="shared" si="32"/>
        <v>0</v>
      </c>
      <c r="Q148">
        <f t="shared" si="33"/>
        <v>0</v>
      </c>
      <c r="R148">
        <f t="shared" si="34"/>
        <v>0</v>
      </c>
    </row>
    <row r="149" spans="1:18">
      <c r="A149" s="1">
        <v>39819</v>
      </c>
      <c r="B149" t="s">
        <v>7</v>
      </c>
      <c r="C149">
        <v>1</v>
      </c>
      <c r="D149" s="2">
        <v>0.83333333333333337</v>
      </c>
      <c r="E149" s="2">
        <v>0.85416666666666663</v>
      </c>
      <c r="F149" s="34">
        <f t="shared" si="35"/>
        <v>0.99999999999999645</v>
      </c>
      <c r="I149">
        <f t="shared" si="25"/>
        <v>0</v>
      </c>
      <c r="J149">
        <f t="shared" si="26"/>
        <v>0.99999999999999645</v>
      </c>
      <c r="K149">
        <f t="shared" si="27"/>
        <v>0</v>
      </c>
      <c r="L149">
        <f t="shared" si="28"/>
        <v>0</v>
      </c>
      <c r="M149">
        <f t="shared" si="29"/>
        <v>0</v>
      </c>
      <c r="N149">
        <f t="shared" si="30"/>
        <v>0</v>
      </c>
      <c r="O149">
        <f t="shared" si="31"/>
        <v>0</v>
      </c>
      <c r="P149">
        <f t="shared" si="32"/>
        <v>0</v>
      </c>
      <c r="Q149">
        <f t="shared" si="33"/>
        <v>0</v>
      </c>
      <c r="R149">
        <f t="shared" si="34"/>
        <v>0</v>
      </c>
    </row>
    <row r="150" spans="1:18">
      <c r="A150" s="1">
        <v>39820</v>
      </c>
      <c r="B150" t="s">
        <v>0</v>
      </c>
      <c r="C150">
        <v>9</v>
      </c>
      <c r="D150" s="2">
        <v>0.77083333333333337</v>
      </c>
      <c r="E150" s="2">
        <v>0.8125</v>
      </c>
      <c r="F150" s="34">
        <f t="shared" si="35"/>
        <v>17.999999999999986</v>
      </c>
      <c r="I150">
        <f t="shared" si="25"/>
        <v>17.999999999999986</v>
      </c>
      <c r="J150">
        <f t="shared" si="26"/>
        <v>0</v>
      </c>
      <c r="K150">
        <f t="shared" si="27"/>
        <v>0</v>
      </c>
      <c r="L150">
        <f t="shared" si="28"/>
        <v>0</v>
      </c>
      <c r="M150">
        <f t="shared" si="29"/>
        <v>0</v>
      </c>
      <c r="N150">
        <f t="shared" si="30"/>
        <v>0</v>
      </c>
      <c r="O150">
        <f t="shared" si="31"/>
        <v>0</v>
      </c>
      <c r="P150">
        <f t="shared" si="32"/>
        <v>0</v>
      </c>
      <c r="Q150">
        <f t="shared" si="33"/>
        <v>0</v>
      </c>
      <c r="R150">
        <f t="shared" si="34"/>
        <v>0</v>
      </c>
    </row>
    <row r="151" spans="1:18">
      <c r="A151" s="1">
        <v>39821</v>
      </c>
      <c r="B151" t="s">
        <v>7</v>
      </c>
      <c r="C151">
        <v>3</v>
      </c>
      <c r="D151" s="2">
        <v>0.75</v>
      </c>
      <c r="E151" s="2">
        <v>0.79166666666666663</v>
      </c>
      <c r="F151" s="34">
        <f t="shared" si="35"/>
        <v>5.9999999999999947</v>
      </c>
      <c r="I151">
        <f t="shared" si="25"/>
        <v>0</v>
      </c>
      <c r="J151">
        <f t="shared" si="26"/>
        <v>5.9999999999999947</v>
      </c>
      <c r="K151">
        <f t="shared" si="27"/>
        <v>0</v>
      </c>
      <c r="L151">
        <f t="shared" si="28"/>
        <v>0</v>
      </c>
      <c r="M151">
        <f t="shared" si="29"/>
        <v>0</v>
      </c>
      <c r="N151">
        <f t="shared" si="30"/>
        <v>0</v>
      </c>
      <c r="O151">
        <f t="shared" si="31"/>
        <v>0</v>
      </c>
      <c r="P151">
        <f t="shared" si="32"/>
        <v>0</v>
      </c>
      <c r="Q151">
        <f t="shared" si="33"/>
        <v>0</v>
      </c>
      <c r="R151">
        <f t="shared" si="34"/>
        <v>0</v>
      </c>
    </row>
    <row r="152" spans="1:18">
      <c r="A152" s="1">
        <v>39821</v>
      </c>
      <c r="B152" t="s">
        <v>7</v>
      </c>
      <c r="C152">
        <v>2</v>
      </c>
      <c r="D152" s="2">
        <v>0.79166666666666663</v>
      </c>
      <c r="E152" s="2">
        <v>0.83333333333333337</v>
      </c>
      <c r="F152" s="34">
        <f t="shared" si="35"/>
        <v>4.0000000000000071</v>
      </c>
      <c r="I152">
        <f t="shared" si="25"/>
        <v>0</v>
      </c>
      <c r="J152">
        <f t="shared" si="26"/>
        <v>4.0000000000000071</v>
      </c>
      <c r="K152">
        <f t="shared" si="27"/>
        <v>0</v>
      </c>
      <c r="L152">
        <f t="shared" si="28"/>
        <v>0</v>
      </c>
      <c r="M152">
        <f t="shared" si="29"/>
        <v>0</v>
      </c>
      <c r="N152">
        <f t="shared" si="30"/>
        <v>0</v>
      </c>
      <c r="O152">
        <f t="shared" si="31"/>
        <v>0</v>
      </c>
      <c r="P152">
        <f t="shared" si="32"/>
        <v>0</v>
      </c>
      <c r="Q152">
        <f t="shared" si="33"/>
        <v>0</v>
      </c>
      <c r="R152">
        <f t="shared" si="34"/>
        <v>0</v>
      </c>
    </row>
    <row r="153" spans="1:18">
      <c r="A153" s="1">
        <v>39822</v>
      </c>
      <c r="B153" t="s">
        <v>0</v>
      </c>
      <c r="C153">
        <v>8</v>
      </c>
      <c r="D153" s="2">
        <v>0.75</v>
      </c>
      <c r="E153" s="2">
        <v>0.77083333333333337</v>
      </c>
      <c r="F153" s="34">
        <f t="shared" si="35"/>
        <v>8.0000000000000142</v>
      </c>
      <c r="I153">
        <f t="shared" si="25"/>
        <v>8.0000000000000142</v>
      </c>
      <c r="J153">
        <f t="shared" si="26"/>
        <v>0</v>
      </c>
      <c r="K153">
        <f t="shared" si="27"/>
        <v>0</v>
      </c>
      <c r="L153">
        <f t="shared" si="28"/>
        <v>0</v>
      </c>
      <c r="M153">
        <f t="shared" si="29"/>
        <v>0</v>
      </c>
      <c r="N153">
        <f t="shared" si="30"/>
        <v>0</v>
      </c>
      <c r="O153">
        <f t="shared" si="31"/>
        <v>0</v>
      </c>
      <c r="P153">
        <f t="shared" si="32"/>
        <v>0</v>
      </c>
      <c r="Q153">
        <f t="shared" si="33"/>
        <v>0</v>
      </c>
      <c r="R153">
        <f t="shared" si="34"/>
        <v>0</v>
      </c>
    </row>
    <row r="154" spans="1:18">
      <c r="A154" s="1">
        <v>39822</v>
      </c>
      <c r="B154" t="s">
        <v>7</v>
      </c>
      <c r="C154" s="94">
        <v>4</v>
      </c>
      <c r="D154" s="2">
        <v>0.77083333333333337</v>
      </c>
      <c r="E154" s="2">
        <v>0.8125</v>
      </c>
      <c r="F154" s="34">
        <f t="shared" si="35"/>
        <v>7.9999999999999929</v>
      </c>
      <c r="I154">
        <f t="shared" si="25"/>
        <v>0</v>
      </c>
      <c r="J154">
        <f t="shared" si="26"/>
        <v>7.9999999999999929</v>
      </c>
      <c r="K154">
        <f t="shared" si="27"/>
        <v>0</v>
      </c>
      <c r="L154">
        <f t="shared" si="28"/>
        <v>0</v>
      </c>
      <c r="M154">
        <f t="shared" si="29"/>
        <v>0</v>
      </c>
      <c r="N154">
        <f t="shared" si="30"/>
        <v>0</v>
      </c>
      <c r="O154">
        <f t="shared" si="31"/>
        <v>0</v>
      </c>
      <c r="P154">
        <f t="shared" si="32"/>
        <v>0</v>
      </c>
      <c r="Q154">
        <f t="shared" si="33"/>
        <v>0</v>
      </c>
      <c r="R154">
        <f t="shared" si="34"/>
        <v>0</v>
      </c>
    </row>
    <row r="155" spans="1:18">
      <c r="A155" s="1">
        <v>39822</v>
      </c>
      <c r="B155" t="s">
        <v>0</v>
      </c>
      <c r="C155">
        <v>5</v>
      </c>
      <c r="D155" s="2">
        <v>0.77083333333333337</v>
      </c>
      <c r="E155" s="2">
        <v>0.8125</v>
      </c>
      <c r="F155" s="34">
        <f t="shared" si="35"/>
        <v>9.9999999999999911</v>
      </c>
      <c r="I155">
        <f t="shared" si="25"/>
        <v>9.9999999999999911</v>
      </c>
      <c r="J155">
        <f t="shared" si="26"/>
        <v>0</v>
      </c>
      <c r="K155">
        <f t="shared" si="27"/>
        <v>0</v>
      </c>
      <c r="L155">
        <f t="shared" si="28"/>
        <v>0</v>
      </c>
      <c r="M155">
        <f t="shared" si="29"/>
        <v>0</v>
      </c>
      <c r="N155">
        <f t="shared" si="30"/>
        <v>0</v>
      </c>
      <c r="O155">
        <f t="shared" si="31"/>
        <v>0</v>
      </c>
      <c r="P155">
        <f t="shared" si="32"/>
        <v>0</v>
      </c>
      <c r="Q155">
        <f t="shared" si="33"/>
        <v>0</v>
      </c>
      <c r="R155">
        <f t="shared" si="34"/>
        <v>0</v>
      </c>
    </row>
    <row r="156" spans="1:18">
      <c r="A156" s="1">
        <v>39825</v>
      </c>
      <c r="B156" t="s">
        <v>0</v>
      </c>
      <c r="C156">
        <v>8</v>
      </c>
      <c r="D156" s="2">
        <v>0.75</v>
      </c>
      <c r="E156" s="2">
        <v>0.8125</v>
      </c>
      <c r="F156" s="34">
        <f t="shared" si="35"/>
        <v>24</v>
      </c>
      <c r="I156">
        <f t="shared" si="25"/>
        <v>24</v>
      </c>
      <c r="J156">
        <f t="shared" si="26"/>
        <v>0</v>
      </c>
      <c r="K156">
        <f t="shared" si="27"/>
        <v>0</v>
      </c>
      <c r="L156">
        <f t="shared" si="28"/>
        <v>0</v>
      </c>
      <c r="M156">
        <f t="shared" si="29"/>
        <v>0</v>
      </c>
      <c r="N156">
        <f t="shared" si="30"/>
        <v>0</v>
      </c>
      <c r="O156">
        <f t="shared" si="31"/>
        <v>0</v>
      </c>
      <c r="P156">
        <f t="shared" si="32"/>
        <v>0</v>
      </c>
      <c r="Q156">
        <f t="shared" si="33"/>
        <v>0</v>
      </c>
      <c r="R156">
        <f t="shared" si="34"/>
        <v>0</v>
      </c>
    </row>
    <row r="157" spans="1:18">
      <c r="A157" s="1">
        <v>39826</v>
      </c>
      <c r="B157" t="s">
        <v>0</v>
      </c>
      <c r="C157">
        <v>8</v>
      </c>
      <c r="D157" s="2">
        <v>0.75</v>
      </c>
      <c r="E157" s="2">
        <v>0.8125</v>
      </c>
      <c r="F157" s="34">
        <f t="shared" si="35"/>
        <v>24</v>
      </c>
      <c r="I157">
        <f t="shared" si="25"/>
        <v>24</v>
      </c>
      <c r="J157">
        <f t="shared" si="26"/>
        <v>0</v>
      </c>
      <c r="K157">
        <f t="shared" si="27"/>
        <v>0</v>
      </c>
      <c r="L157">
        <f t="shared" si="28"/>
        <v>0</v>
      </c>
      <c r="M157">
        <f t="shared" si="29"/>
        <v>0</v>
      </c>
      <c r="N157">
        <f t="shared" si="30"/>
        <v>0</v>
      </c>
      <c r="O157">
        <f t="shared" si="31"/>
        <v>0</v>
      </c>
      <c r="P157">
        <f t="shared" si="32"/>
        <v>0</v>
      </c>
      <c r="Q157">
        <f t="shared" si="33"/>
        <v>0</v>
      </c>
      <c r="R157">
        <f t="shared" si="34"/>
        <v>0</v>
      </c>
    </row>
    <row r="158" spans="1:18">
      <c r="A158" s="1">
        <v>39828</v>
      </c>
      <c r="B158" t="s">
        <v>7</v>
      </c>
      <c r="C158">
        <v>2</v>
      </c>
      <c r="D158" s="2">
        <v>0.75</v>
      </c>
      <c r="E158" s="2">
        <v>0.79166666666666663</v>
      </c>
      <c r="F158" s="34">
        <f t="shared" si="35"/>
        <v>3.9999999999999964</v>
      </c>
      <c r="I158">
        <f t="shared" si="25"/>
        <v>0</v>
      </c>
      <c r="J158">
        <f t="shared" si="26"/>
        <v>3.9999999999999964</v>
      </c>
      <c r="K158">
        <f t="shared" si="27"/>
        <v>0</v>
      </c>
      <c r="L158">
        <f t="shared" si="28"/>
        <v>0</v>
      </c>
      <c r="M158">
        <f t="shared" si="29"/>
        <v>0</v>
      </c>
      <c r="N158">
        <f t="shared" si="30"/>
        <v>0</v>
      </c>
      <c r="O158">
        <f t="shared" si="31"/>
        <v>0</v>
      </c>
      <c r="P158">
        <f t="shared" si="32"/>
        <v>0</v>
      </c>
      <c r="Q158">
        <f t="shared" si="33"/>
        <v>0</v>
      </c>
      <c r="R158">
        <f t="shared" si="34"/>
        <v>0</v>
      </c>
    </row>
    <row r="159" spans="1:18">
      <c r="A159" s="1">
        <v>39828</v>
      </c>
      <c r="B159" t="s">
        <v>0</v>
      </c>
      <c r="C159">
        <v>4</v>
      </c>
      <c r="D159" s="2">
        <v>0.75</v>
      </c>
      <c r="E159" s="2">
        <v>0.79166666666666663</v>
      </c>
      <c r="F159" s="34">
        <f t="shared" si="35"/>
        <v>7.9999999999999929</v>
      </c>
      <c r="I159">
        <f t="shared" si="25"/>
        <v>7.9999999999999929</v>
      </c>
      <c r="J159">
        <f t="shared" si="26"/>
        <v>0</v>
      </c>
      <c r="K159">
        <f t="shared" si="27"/>
        <v>0</v>
      </c>
      <c r="L159">
        <f t="shared" si="28"/>
        <v>0</v>
      </c>
      <c r="M159">
        <f t="shared" si="29"/>
        <v>0</v>
      </c>
      <c r="N159">
        <f t="shared" si="30"/>
        <v>0</v>
      </c>
      <c r="O159">
        <f t="shared" si="31"/>
        <v>0</v>
      </c>
      <c r="P159">
        <f t="shared" si="32"/>
        <v>0</v>
      </c>
      <c r="Q159">
        <f t="shared" si="33"/>
        <v>0</v>
      </c>
      <c r="R159">
        <f t="shared" si="34"/>
        <v>0</v>
      </c>
    </row>
    <row r="160" spans="1:18">
      <c r="A160" s="1">
        <v>39829</v>
      </c>
      <c r="B160" t="s">
        <v>7</v>
      </c>
      <c r="C160">
        <v>3</v>
      </c>
      <c r="D160" s="2">
        <v>0.27083333333333331</v>
      </c>
      <c r="E160" s="2">
        <v>0.3125</v>
      </c>
      <c r="F160" s="34">
        <f t="shared" si="35"/>
        <v>6.0000000000000027</v>
      </c>
      <c r="I160">
        <f t="shared" si="25"/>
        <v>0</v>
      </c>
      <c r="J160">
        <f t="shared" si="26"/>
        <v>6.0000000000000027</v>
      </c>
      <c r="K160">
        <f t="shared" si="27"/>
        <v>0</v>
      </c>
      <c r="L160">
        <f t="shared" si="28"/>
        <v>0</v>
      </c>
      <c r="M160">
        <f t="shared" si="29"/>
        <v>0</v>
      </c>
      <c r="N160">
        <f t="shared" si="30"/>
        <v>0</v>
      </c>
      <c r="O160">
        <f t="shared" si="31"/>
        <v>0</v>
      </c>
      <c r="P160">
        <f t="shared" si="32"/>
        <v>0</v>
      </c>
      <c r="Q160">
        <f t="shared" si="33"/>
        <v>0</v>
      </c>
      <c r="R160">
        <f t="shared" si="34"/>
        <v>0</v>
      </c>
    </row>
    <row r="161" spans="1:18">
      <c r="A161" s="1">
        <v>39829</v>
      </c>
      <c r="B161" t="s">
        <v>0</v>
      </c>
      <c r="C161">
        <v>8</v>
      </c>
      <c r="D161" s="2">
        <v>0.75</v>
      </c>
      <c r="E161" s="2">
        <v>0.8125</v>
      </c>
      <c r="F161" s="34">
        <f t="shared" si="35"/>
        <v>24</v>
      </c>
      <c r="I161">
        <f t="shared" si="25"/>
        <v>24</v>
      </c>
      <c r="J161">
        <f t="shared" si="26"/>
        <v>0</v>
      </c>
      <c r="K161">
        <f t="shared" si="27"/>
        <v>0</v>
      </c>
      <c r="L161">
        <f t="shared" si="28"/>
        <v>0</v>
      </c>
      <c r="M161">
        <f t="shared" si="29"/>
        <v>0</v>
      </c>
      <c r="N161">
        <f t="shared" si="30"/>
        <v>0</v>
      </c>
      <c r="O161">
        <f t="shared" si="31"/>
        <v>0</v>
      </c>
      <c r="P161">
        <f t="shared" si="32"/>
        <v>0</v>
      </c>
      <c r="Q161">
        <f t="shared" si="33"/>
        <v>0</v>
      </c>
      <c r="R161">
        <f t="shared" si="34"/>
        <v>0</v>
      </c>
    </row>
    <row r="162" spans="1:18">
      <c r="A162" s="1">
        <v>39832</v>
      </c>
      <c r="B162" t="s">
        <v>0</v>
      </c>
      <c r="C162">
        <v>8</v>
      </c>
      <c r="D162" s="2">
        <v>0.75</v>
      </c>
      <c r="E162" s="2">
        <v>0.8125</v>
      </c>
      <c r="F162" s="34">
        <f t="shared" si="35"/>
        <v>24</v>
      </c>
      <c r="I162">
        <f t="shared" si="25"/>
        <v>24</v>
      </c>
      <c r="J162">
        <f t="shared" si="26"/>
        <v>0</v>
      </c>
      <c r="K162">
        <f t="shared" si="27"/>
        <v>0</v>
      </c>
      <c r="L162">
        <f t="shared" si="28"/>
        <v>0</v>
      </c>
      <c r="M162">
        <f t="shared" si="29"/>
        <v>0</v>
      </c>
      <c r="N162">
        <f t="shared" si="30"/>
        <v>0</v>
      </c>
      <c r="O162">
        <f t="shared" si="31"/>
        <v>0</v>
      </c>
      <c r="P162">
        <f t="shared" si="32"/>
        <v>0</v>
      </c>
      <c r="Q162">
        <f t="shared" si="33"/>
        <v>0</v>
      </c>
      <c r="R162">
        <f t="shared" si="34"/>
        <v>0</v>
      </c>
    </row>
    <row r="163" spans="1:18">
      <c r="A163" s="1">
        <v>39833</v>
      </c>
      <c r="B163" t="s">
        <v>0</v>
      </c>
      <c r="C163">
        <v>8</v>
      </c>
      <c r="D163" s="2">
        <v>0.75</v>
      </c>
      <c r="E163" s="2">
        <v>0.8125</v>
      </c>
      <c r="F163" s="34">
        <f t="shared" si="35"/>
        <v>24</v>
      </c>
      <c r="I163">
        <f t="shared" si="25"/>
        <v>24</v>
      </c>
      <c r="J163">
        <f t="shared" si="26"/>
        <v>0</v>
      </c>
      <c r="K163">
        <f t="shared" si="27"/>
        <v>0</v>
      </c>
      <c r="L163">
        <f t="shared" si="28"/>
        <v>0</v>
      </c>
      <c r="M163">
        <f t="shared" si="29"/>
        <v>0</v>
      </c>
      <c r="N163">
        <f t="shared" si="30"/>
        <v>0</v>
      </c>
      <c r="O163">
        <f t="shared" si="31"/>
        <v>0</v>
      </c>
      <c r="P163">
        <f t="shared" si="32"/>
        <v>0</v>
      </c>
      <c r="Q163">
        <f t="shared" si="33"/>
        <v>0</v>
      </c>
      <c r="R163">
        <f t="shared" si="34"/>
        <v>0</v>
      </c>
    </row>
    <row r="164" spans="1:18">
      <c r="A164" s="1">
        <v>39833</v>
      </c>
      <c r="B164" t="s">
        <v>7</v>
      </c>
      <c r="C164">
        <v>1</v>
      </c>
      <c r="D164" s="2">
        <v>0.79166666666666663</v>
      </c>
      <c r="E164" s="2">
        <v>0.83333333333333337</v>
      </c>
      <c r="F164" s="34">
        <f t="shared" si="35"/>
        <v>2.0000000000000036</v>
      </c>
      <c r="I164">
        <f t="shared" si="25"/>
        <v>0</v>
      </c>
      <c r="J164">
        <f t="shared" si="26"/>
        <v>2.0000000000000036</v>
      </c>
      <c r="K164">
        <f t="shared" si="27"/>
        <v>0</v>
      </c>
      <c r="L164">
        <f t="shared" si="28"/>
        <v>0</v>
      </c>
      <c r="M164">
        <f t="shared" si="29"/>
        <v>0</v>
      </c>
      <c r="N164">
        <f t="shared" si="30"/>
        <v>0</v>
      </c>
      <c r="O164">
        <f t="shared" si="31"/>
        <v>0</v>
      </c>
      <c r="P164">
        <f t="shared" si="32"/>
        <v>0</v>
      </c>
      <c r="Q164">
        <f t="shared" si="33"/>
        <v>0</v>
      </c>
      <c r="R164">
        <f t="shared" si="34"/>
        <v>0</v>
      </c>
    </row>
    <row r="165" spans="1:18">
      <c r="A165" s="1">
        <v>39834</v>
      </c>
      <c r="B165" t="s">
        <v>7</v>
      </c>
      <c r="C165" s="94">
        <v>1</v>
      </c>
      <c r="D165" s="2">
        <v>0.85416666666666663</v>
      </c>
      <c r="E165" s="2">
        <v>0.89583333333333337</v>
      </c>
      <c r="F165" s="34">
        <f t="shared" ref="F165:F228" si="36">C165*(E165-D165)*2*24</f>
        <v>2.0000000000000036</v>
      </c>
      <c r="I165">
        <f t="shared" ref="I165:I228" si="37">IF(($B165=B$1),($F165),(0))</f>
        <v>0</v>
      </c>
      <c r="J165">
        <f t="shared" ref="J165:J228" si="38">IF(($B165=C$1),($F165),(0))</f>
        <v>2.0000000000000036</v>
      </c>
      <c r="K165">
        <f t="shared" ref="K165:K228" si="39">IF(($B165=D$1),($F165),(0))</f>
        <v>0</v>
      </c>
      <c r="L165">
        <f t="shared" ref="L165:L228" si="40">IF(($B165=E$1),($F165),(0))</f>
        <v>0</v>
      </c>
      <c r="M165">
        <f t="shared" ref="M165:M228" si="41">IF(($B165=F$1),($F165),(0))</f>
        <v>0</v>
      </c>
      <c r="N165">
        <f t="shared" ref="N165:N228" si="42">IF(($B165=G$1),($F165),(0))</f>
        <v>0</v>
      </c>
      <c r="O165">
        <f t="shared" ref="O165:O228" si="43">IF(($B165=H$1),($F165),(0))</f>
        <v>0</v>
      </c>
      <c r="P165">
        <f t="shared" si="32"/>
        <v>0</v>
      </c>
      <c r="Q165">
        <f t="shared" si="33"/>
        <v>0</v>
      </c>
      <c r="R165">
        <f t="shared" si="34"/>
        <v>0</v>
      </c>
    </row>
    <row r="166" spans="1:18">
      <c r="A166" s="1">
        <v>39835</v>
      </c>
      <c r="B166" t="s">
        <v>7</v>
      </c>
      <c r="C166">
        <v>1</v>
      </c>
      <c r="D166" s="2">
        <v>0.75</v>
      </c>
      <c r="E166" s="2">
        <v>0.79166666666666663</v>
      </c>
      <c r="F166" s="34">
        <f t="shared" si="36"/>
        <v>1.9999999999999982</v>
      </c>
      <c r="I166">
        <f t="shared" si="37"/>
        <v>0</v>
      </c>
      <c r="J166">
        <f t="shared" si="38"/>
        <v>1.9999999999999982</v>
      </c>
      <c r="K166">
        <f t="shared" si="39"/>
        <v>0</v>
      </c>
      <c r="L166">
        <f t="shared" si="40"/>
        <v>0</v>
      </c>
      <c r="M166">
        <f t="shared" si="41"/>
        <v>0</v>
      </c>
      <c r="N166">
        <f t="shared" si="42"/>
        <v>0</v>
      </c>
      <c r="O166">
        <f t="shared" si="43"/>
        <v>0</v>
      </c>
      <c r="P166">
        <f t="shared" si="32"/>
        <v>0</v>
      </c>
      <c r="Q166">
        <f t="shared" si="33"/>
        <v>0</v>
      </c>
      <c r="R166">
        <f t="shared" si="34"/>
        <v>0</v>
      </c>
    </row>
    <row r="167" spans="1:18">
      <c r="A167" s="1">
        <v>39836</v>
      </c>
      <c r="B167" t="s">
        <v>0</v>
      </c>
      <c r="C167">
        <v>8</v>
      </c>
      <c r="D167" s="2">
        <v>0.75</v>
      </c>
      <c r="E167" s="2">
        <v>0.8125</v>
      </c>
      <c r="F167" s="34">
        <f t="shared" si="36"/>
        <v>24</v>
      </c>
      <c r="I167">
        <f t="shared" si="37"/>
        <v>24</v>
      </c>
      <c r="J167">
        <f t="shared" si="38"/>
        <v>0</v>
      </c>
      <c r="K167">
        <f t="shared" si="39"/>
        <v>0</v>
      </c>
      <c r="L167">
        <f t="shared" si="40"/>
        <v>0</v>
      </c>
      <c r="M167">
        <f t="shared" si="41"/>
        <v>0</v>
      </c>
      <c r="N167">
        <f t="shared" si="42"/>
        <v>0</v>
      </c>
      <c r="O167">
        <f t="shared" si="43"/>
        <v>0</v>
      </c>
      <c r="P167">
        <f t="shared" si="32"/>
        <v>0</v>
      </c>
      <c r="Q167">
        <f t="shared" si="33"/>
        <v>0</v>
      </c>
      <c r="R167">
        <f t="shared" si="34"/>
        <v>0</v>
      </c>
    </row>
    <row r="168" spans="1:18">
      <c r="A168" s="1">
        <v>39839</v>
      </c>
      <c r="B168" t="s">
        <v>0</v>
      </c>
      <c r="C168">
        <v>8</v>
      </c>
      <c r="D168" s="2">
        <v>0.75</v>
      </c>
      <c r="E168" s="2">
        <v>0.8125</v>
      </c>
      <c r="F168" s="34">
        <f t="shared" si="36"/>
        <v>24</v>
      </c>
      <c r="I168">
        <f t="shared" si="37"/>
        <v>24</v>
      </c>
      <c r="J168">
        <f t="shared" si="38"/>
        <v>0</v>
      </c>
      <c r="K168">
        <f t="shared" si="39"/>
        <v>0</v>
      </c>
      <c r="L168">
        <f t="shared" si="40"/>
        <v>0</v>
      </c>
      <c r="M168">
        <f t="shared" si="41"/>
        <v>0</v>
      </c>
      <c r="N168">
        <f t="shared" si="42"/>
        <v>0</v>
      </c>
      <c r="O168">
        <f t="shared" si="43"/>
        <v>0</v>
      </c>
      <c r="P168">
        <f t="shared" si="32"/>
        <v>0</v>
      </c>
      <c r="Q168">
        <f t="shared" si="33"/>
        <v>0</v>
      </c>
      <c r="R168">
        <f t="shared" si="34"/>
        <v>0</v>
      </c>
    </row>
    <row r="169" spans="1:18">
      <c r="A169" s="1">
        <v>39839</v>
      </c>
      <c r="B169" t="s">
        <v>7</v>
      </c>
      <c r="C169">
        <v>1</v>
      </c>
      <c r="D169" s="2">
        <v>0.77083333333333337</v>
      </c>
      <c r="E169" s="2">
        <v>0.8125</v>
      </c>
      <c r="F169" s="34">
        <f t="shared" si="36"/>
        <v>1.9999999999999982</v>
      </c>
      <c r="I169">
        <f t="shared" si="37"/>
        <v>0</v>
      </c>
      <c r="J169">
        <f t="shared" si="38"/>
        <v>1.9999999999999982</v>
      </c>
      <c r="K169">
        <f t="shared" si="39"/>
        <v>0</v>
      </c>
      <c r="L169">
        <f t="shared" si="40"/>
        <v>0</v>
      </c>
      <c r="M169">
        <f t="shared" si="41"/>
        <v>0</v>
      </c>
      <c r="N169">
        <f t="shared" si="42"/>
        <v>0</v>
      </c>
      <c r="O169">
        <f t="shared" si="43"/>
        <v>0</v>
      </c>
      <c r="P169">
        <f t="shared" si="32"/>
        <v>0</v>
      </c>
      <c r="Q169">
        <f t="shared" si="33"/>
        <v>0</v>
      </c>
      <c r="R169">
        <f t="shared" si="34"/>
        <v>0</v>
      </c>
    </row>
    <row r="170" spans="1:18">
      <c r="A170" s="1">
        <v>39840</v>
      </c>
      <c r="B170" t="s">
        <v>0</v>
      </c>
      <c r="C170">
        <v>8</v>
      </c>
      <c r="D170" s="2">
        <v>0.75</v>
      </c>
      <c r="E170" s="2">
        <v>0.8125</v>
      </c>
      <c r="F170" s="34">
        <f t="shared" si="36"/>
        <v>24</v>
      </c>
      <c r="I170">
        <f t="shared" si="37"/>
        <v>24</v>
      </c>
      <c r="J170">
        <f t="shared" si="38"/>
        <v>0</v>
      </c>
      <c r="K170">
        <f t="shared" si="39"/>
        <v>0</v>
      </c>
      <c r="L170">
        <f t="shared" si="40"/>
        <v>0</v>
      </c>
      <c r="M170">
        <f t="shared" si="41"/>
        <v>0</v>
      </c>
      <c r="N170">
        <f t="shared" si="42"/>
        <v>0</v>
      </c>
      <c r="O170">
        <f t="shared" si="43"/>
        <v>0</v>
      </c>
      <c r="P170">
        <f t="shared" si="32"/>
        <v>0</v>
      </c>
      <c r="Q170">
        <f t="shared" si="33"/>
        <v>0</v>
      </c>
      <c r="R170">
        <f t="shared" si="34"/>
        <v>0</v>
      </c>
    </row>
    <row r="171" spans="1:18">
      <c r="A171" s="1">
        <v>39841</v>
      </c>
      <c r="B171" t="s">
        <v>7</v>
      </c>
      <c r="C171">
        <v>1</v>
      </c>
      <c r="D171" s="2">
        <v>0.88541666666666663</v>
      </c>
      <c r="E171" s="2">
        <v>0.92708333333333337</v>
      </c>
      <c r="F171" s="34">
        <f t="shared" si="36"/>
        <v>2.0000000000000036</v>
      </c>
      <c r="I171">
        <f t="shared" si="37"/>
        <v>0</v>
      </c>
      <c r="J171">
        <f t="shared" si="38"/>
        <v>2.0000000000000036</v>
      </c>
      <c r="K171">
        <f t="shared" si="39"/>
        <v>0</v>
      </c>
      <c r="L171">
        <f t="shared" si="40"/>
        <v>0</v>
      </c>
      <c r="M171">
        <f t="shared" si="41"/>
        <v>0</v>
      </c>
      <c r="N171">
        <f t="shared" si="42"/>
        <v>0</v>
      </c>
      <c r="O171">
        <f t="shared" si="43"/>
        <v>0</v>
      </c>
      <c r="P171">
        <f t="shared" si="32"/>
        <v>0</v>
      </c>
      <c r="Q171">
        <f t="shared" si="33"/>
        <v>0</v>
      </c>
      <c r="R171">
        <f t="shared" si="34"/>
        <v>0</v>
      </c>
    </row>
    <row r="172" spans="1:18">
      <c r="A172" s="1">
        <v>39842</v>
      </c>
      <c r="B172" t="s">
        <v>0</v>
      </c>
      <c r="C172">
        <v>8</v>
      </c>
      <c r="D172" s="2">
        <v>0.79166666666666663</v>
      </c>
      <c r="E172" s="2">
        <v>0.83333333333333337</v>
      </c>
      <c r="F172" s="34">
        <f t="shared" si="36"/>
        <v>16.000000000000028</v>
      </c>
      <c r="I172">
        <f t="shared" si="37"/>
        <v>16.000000000000028</v>
      </c>
      <c r="J172">
        <f t="shared" si="38"/>
        <v>0</v>
      </c>
      <c r="K172">
        <f t="shared" si="39"/>
        <v>0</v>
      </c>
      <c r="L172">
        <f t="shared" si="40"/>
        <v>0</v>
      </c>
      <c r="M172">
        <f t="shared" si="41"/>
        <v>0</v>
      </c>
      <c r="N172">
        <f t="shared" si="42"/>
        <v>0</v>
      </c>
      <c r="O172">
        <f t="shared" si="43"/>
        <v>0</v>
      </c>
      <c r="P172">
        <f t="shared" si="32"/>
        <v>0</v>
      </c>
      <c r="Q172">
        <f t="shared" si="33"/>
        <v>0</v>
      </c>
      <c r="R172">
        <f t="shared" si="34"/>
        <v>0</v>
      </c>
    </row>
    <row r="173" spans="1:18">
      <c r="A173" s="1">
        <v>39843</v>
      </c>
      <c r="B173" t="s">
        <v>0</v>
      </c>
      <c r="C173">
        <v>8</v>
      </c>
      <c r="D173" s="2">
        <v>0.75</v>
      </c>
      <c r="E173" s="2">
        <v>0.8125</v>
      </c>
      <c r="F173" s="34">
        <f t="shared" si="36"/>
        <v>24</v>
      </c>
      <c r="I173">
        <f t="shared" si="37"/>
        <v>24</v>
      </c>
      <c r="J173">
        <f t="shared" si="38"/>
        <v>0</v>
      </c>
      <c r="K173">
        <f t="shared" si="39"/>
        <v>0</v>
      </c>
      <c r="L173">
        <f t="shared" si="40"/>
        <v>0</v>
      </c>
      <c r="M173">
        <f t="shared" si="41"/>
        <v>0</v>
      </c>
      <c r="N173">
        <f t="shared" si="42"/>
        <v>0</v>
      </c>
      <c r="O173">
        <f t="shared" si="43"/>
        <v>0</v>
      </c>
      <c r="P173">
        <f t="shared" si="32"/>
        <v>0</v>
      </c>
      <c r="Q173">
        <f t="shared" si="33"/>
        <v>0</v>
      </c>
      <c r="R173">
        <f t="shared" si="34"/>
        <v>0</v>
      </c>
    </row>
    <row r="174" spans="1:18">
      <c r="A174" s="1">
        <v>39846</v>
      </c>
      <c r="B174" t="s">
        <v>0</v>
      </c>
      <c r="C174">
        <v>8</v>
      </c>
      <c r="D174" s="2">
        <v>0.75</v>
      </c>
      <c r="E174" s="2">
        <v>0.8125</v>
      </c>
      <c r="F174" s="34">
        <f t="shared" si="36"/>
        <v>24</v>
      </c>
      <c r="I174">
        <f t="shared" si="37"/>
        <v>24</v>
      </c>
      <c r="J174">
        <f t="shared" si="38"/>
        <v>0</v>
      </c>
      <c r="K174">
        <f t="shared" si="39"/>
        <v>0</v>
      </c>
      <c r="L174">
        <f t="shared" si="40"/>
        <v>0</v>
      </c>
      <c r="M174">
        <f t="shared" si="41"/>
        <v>0</v>
      </c>
      <c r="N174">
        <f t="shared" si="42"/>
        <v>0</v>
      </c>
      <c r="O174">
        <f t="shared" si="43"/>
        <v>0</v>
      </c>
      <c r="P174">
        <f t="shared" si="32"/>
        <v>0</v>
      </c>
      <c r="Q174">
        <f t="shared" si="33"/>
        <v>0</v>
      </c>
      <c r="R174">
        <f t="shared" si="34"/>
        <v>0</v>
      </c>
    </row>
    <row r="175" spans="1:18">
      <c r="A175" s="1">
        <v>39846</v>
      </c>
      <c r="B175" t="s">
        <v>7</v>
      </c>
      <c r="C175">
        <v>1</v>
      </c>
      <c r="D175" s="2">
        <v>0.88541666666666663</v>
      </c>
      <c r="E175" s="2">
        <v>0.91666666666666663</v>
      </c>
      <c r="F175" s="34">
        <f t="shared" si="36"/>
        <v>1.5</v>
      </c>
      <c r="I175">
        <f t="shared" si="37"/>
        <v>0</v>
      </c>
      <c r="J175">
        <f t="shared" si="38"/>
        <v>1.5</v>
      </c>
      <c r="K175">
        <f t="shared" si="39"/>
        <v>0</v>
      </c>
      <c r="L175">
        <f t="shared" si="40"/>
        <v>0</v>
      </c>
      <c r="M175">
        <f t="shared" si="41"/>
        <v>0</v>
      </c>
      <c r="N175">
        <f t="shared" si="42"/>
        <v>0</v>
      </c>
      <c r="O175">
        <f t="shared" si="43"/>
        <v>0</v>
      </c>
      <c r="P175">
        <f t="shared" si="32"/>
        <v>0</v>
      </c>
      <c r="Q175">
        <f t="shared" si="33"/>
        <v>0</v>
      </c>
      <c r="R175">
        <f t="shared" si="34"/>
        <v>0</v>
      </c>
    </row>
    <row r="176" spans="1:18">
      <c r="A176" s="1">
        <v>39847</v>
      </c>
      <c r="B176" t="s">
        <v>0</v>
      </c>
      <c r="C176">
        <v>8</v>
      </c>
      <c r="D176" s="2">
        <v>0.75</v>
      </c>
      <c r="E176" s="2">
        <v>0.8125</v>
      </c>
      <c r="F176" s="34">
        <f t="shared" si="36"/>
        <v>24</v>
      </c>
      <c r="I176">
        <f t="shared" si="37"/>
        <v>24</v>
      </c>
      <c r="J176">
        <f t="shared" si="38"/>
        <v>0</v>
      </c>
      <c r="K176">
        <f t="shared" si="39"/>
        <v>0</v>
      </c>
      <c r="L176">
        <f t="shared" si="40"/>
        <v>0</v>
      </c>
      <c r="M176">
        <f t="shared" si="41"/>
        <v>0</v>
      </c>
      <c r="N176">
        <f t="shared" si="42"/>
        <v>0</v>
      </c>
      <c r="O176">
        <f t="shared" si="43"/>
        <v>0</v>
      </c>
      <c r="P176">
        <f t="shared" si="32"/>
        <v>0</v>
      </c>
      <c r="Q176">
        <f t="shared" si="33"/>
        <v>0</v>
      </c>
      <c r="R176">
        <f t="shared" si="34"/>
        <v>0</v>
      </c>
    </row>
    <row r="177" spans="1:18">
      <c r="A177" s="1">
        <v>39849</v>
      </c>
      <c r="B177" t="s">
        <v>7</v>
      </c>
      <c r="C177">
        <v>1</v>
      </c>
      <c r="D177" s="2">
        <v>0.75</v>
      </c>
      <c r="E177" s="2">
        <v>0.79166666666666663</v>
      </c>
      <c r="F177" s="34">
        <f t="shared" si="36"/>
        <v>1.9999999999999982</v>
      </c>
      <c r="I177">
        <f t="shared" si="37"/>
        <v>0</v>
      </c>
      <c r="J177">
        <f t="shared" si="38"/>
        <v>1.9999999999999982</v>
      </c>
      <c r="K177">
        <f t="shared" si="39"/>
        <v>0</v>
      </c>
      <c r="L177">
        <f t="shared" si="40"/>
        <v>0</v>
      </c>
      <c r="M177">
        <f t="shared" si="41"/>
        <v>0</v>
      </c>
      <c r="N177">
        <f t="shared" si="42"/>
        <v>0</v>
      </c>
      <c r="O177">
        <f t="shared" si="43"/>
        <v>0</v>
      </c>
      <c r="P177">
        <f t="shared" si="32"/>
        <v>0</v>
      </c>
      <c r="Q177">
        <f t="shared" si="33"/>
        <v>0</v>
      </c>
      <c r="R177">
        <f t="shared" si="34"/>
        <v>0</v>
      </c>
    </row>
    <row r="178" spans="1:18">
      <c r="A178" s="1">
        <v>39849</v>
      </c>
      <c r="B178" t="s">
        <v>0</v>
      </c>
      <c r="C178">
        <v>8</v>
      </c>
      <c r="D178" s="2">
        <v>0.79166666666666663</v>
      </c>
      <c r="E178" s="2">
        <v>0.83333333333333337</v>
      </c>
      <c r="F178" s="34">
        <f t="shared" si="36"/>
        <v>16.000000000000028</v>
      </c>
      <c r="I178">
        <f t="shared" si="37"/>
        <v>16.000000000000028</v>
      </c>
      <c r="J178">
        <f t="shared" si="38"/>
        <v>0</v>
      </c>
      <c r="K178">
        <f t="shared" si="39"/>
        <v>0</v>
      </c>
      <c r="L178">
        <f t="shared" si="40"/>
        <v>0</v>
      </c>
      <c r="M178">
        <f t="shared" si="41"/>
        <v>0</v>
      </c>
      <c r="N178">
        <f t="shared" si="42"/>
        <v>0</v>
      </c>
      <c r="O178">
        <f t="shared" si="43"/>
        <v>0</v>
      </c>
      <c r="P178">
        <f t="shared" si="32"/>
        <v>0</v>
      </c>
      <c r="Q178">
        <f t="shared" si="33"/>
        <v>0</v>
      </c>
      <c r="R178">
        <f t="shared" si="34"/>
        <v>0</v>
      </c>
    </row>
    <row r="179" spans="1:18">
      <c r="A179" s="1">
        <v>39850</v>
      </c>
      <c r="B179" t="s">
        <v>0</v>
      </c>
      <c r="C179">
        <v>8</v>
      </c>
      <c r="D179" s="2">
        <v>0.75</v>
      </c>
      <c r="E179" s="2">
        <v>0.8125</v>
      </c>
      <c r="F179" s="34">
        <f t="shared" si="36"/>
        <v>24</v>
      </c>
      <c r="I179">
        <f t="shared" si="37"/>
        <v>24</v>
      </c>
      <c r="J179">
        <f t="shared" si="38"/>
        <v>0</v>
      </c>
      <c r="K179">
        <f t="shared" si="39"/>
        <v>0</v>
      </c>
      <c r="L179">
        <f t="shared" si="40"/>
        <v>0</v>
      </c>
      <c r="M179">
        <f t="shared" si="41"/>
        <v>0</v>
      </c>
      <c r="N179">
        <f t="shared" si="42"/>
        <v>0</v>
      </c>
      <c r="O179">
        <f t="shared" si="43"/>
        <v>0</v>
      </c>
      <c r="P179">
        <f t="shared" si="32"/>
        <v>0</v>
      </c>
      <c r="Q179">
        <f t="shared" si="33"/>
        <v>0</v>
      </c>
      <c r="R179">
        <f t="shared" si="34"/>
        <v>0</v>
      </c>
    </row>
    <row r="180" spans="1:18">
      <c r="A180" s="1">
        <v>39850</v>
      </c>
      <c r="B180" t="s">
        <v>7</v>
      </c>
      <c r="C180">
        <v>1</v>
      </c>
      <c r="D180" s="2">
        <v>0.89583333333333337</v>
      </c>
      <c r="E180" s="2">
        <v>0.94791666666666663</v>
      </c>
      <c r="F180" s="34">
        <f t="shared" si="36"/>
        <v>2.4999999999999964</v>
      </c>
      <c r="I180">
        <f t="shared" si="37"/>
        <v>0</v>
      </c>
      <c r="J180">
        <f t="shared" si="38"/>
        <v>2.4999999999999964</v>
      </c>
      <c r="K180">
        <f t="shared" si="39"/>
        <v>0</v>
      </c>
      <c r="L180">
        <f t="shared" si="40"/>
        <v>0</v>
      </c>
      <c r="M180">
        <f t="shared" si="41"/>
        <v>0</v>
      </c>
      <c r="N180">
        <f t="shared" si="42"/>
        <v>0</v>
      </c>
      <c r="O180">
        <f t="shared" si="43"/>
        <v>0</v>
      </c>
      <c r="P180">
        <f t="shared" si="32"/>
        <v>0</v>
      </c>
      <c r="Q180">
        <f t="shared" si="33"/>
        <v>0</v>
      </c>
      <c r="R180">
        <f t="shared" si="34"/>
        <v>0</v>
      </c>
    </row>
    <row r="181" spans="1:18">
      <c r="A181" s="1">
        <v>39853</v>
      </c>
      <c r="B181" t="s">
        <v>0</v>
      </c>
      <c r="C181">
        <v>8</v>
      </c>
      <c r="D181" s="2">
        <v>0.75</v>
      </c>
      <c r="E181" s="2">
        <v>0.8125</v>
      </c>
      <c r="F181" s="34">
        <f t="shared" si="36"/>
        <v>24</v>
      </c>
      <c r="I181">
        <f t="shared" si="37"/>
        <v>24</v>
      </c>
      <c r="J181">
        <f t="shared" si="38"/>
        <v>0</v>
      </c>
      <c r="K181">
        <f t="shared" si="39"/>
        <v>0</v>
      </c>
      <c r="L181">
        <f t="shared" si="40"/>
        <v>0</v>
      </c>
      <c r="M181">
        <f t="shared" si="41"/>
        <v>0</v>
      </c>
      <c r="N181">
        <f t="shared" si="42"/>
        <v>0</v>
      </c>
      <c r="O181">
        <f t="shared" si="43"/>
        <v>0</v>
      </c>
      <c r="P181">
        <f t="shared" si="32"/>
        <v>0</v>
      </c>
      <c r="Q181">
        <f t="shared" si="33"/>
        <v>0</v>
      </c>
      <c r="R181">
        <f t="shared" si="34"/>
        <v>0</v>
      </c>
    </row>
    <row r="182" spans="1:18">
      <c r="A182" s="1">
        <v>39854</v>
      </c>
      <c r="B182" t="s">
        <v>0</v>
      </c>
      <c r="C182">
        <v>8</v>
      </c>
      <c r="D182" s="2">
        <v>0.75</v>
      </c>
      <c r="E182" s="2">
        <v>0.8125</v>
      </c>
      <c r="F182" s="34">
        <f t="shared" si="36"/>
        <v>24</v>
      </c>
      <c r="I182">
        <f t="shared" si="37"/>
        <v>24</v>
      </c>
      <c r="J182">
        <f t="shared" si="38"/>
        <v>0</v>
      </c>
      <c r="K182">
        <f t="shared" si="39"/>
        <v>0</v>
      </c>
      <c r="L182">
        <f t="shared" si="40"/>
        <v>0</v>
      </c>
      <c r="M182">
        <f t="shared" si="41"/>
        <v>0</v>
      </c>
      <c r="N182">
        <f t="shared" si="42"/>
        <v>0</v>
      </c>
      <c r="O182">
        <f t="shared" si="43"/>
        <v>0</v>
      </c>
      <c r="P182">
        <f t="shared" si="32"/>
        <v>0</v>
      </c>
      <c r="Q182">
        <f t="shared" si="33"/>
        <v>0</v>
      </c>
      <c r="R182">
        <f t="shared" si="34"/>
        <v>0</v>
      </c>
    </row>
    <row r="183" spans="1:18">
      <c r="A183" s="1">
        <v>39855</v>
      </c>
      <c r="B183" t="s">
        <v>7</v>
      </c>
      <c r="C183">
        <v>4</v>
      </c>
      <c r="D183" s="2">
        <v>0.77083333333333337</v>
      </c>
      <c r="E183" s="2">
        <v>0.79166666666666663</v>
      </c>
      <c r="F183" s="34">
        <f t="shared" si="36"/>
        <v>3.9999999999999858</v>
      </c>
      <c r="I183">
        <f t="shared" si="37"/>
        <v>0</v>
      </c>
      <c r="J183">
        <f t="shared" si="38"/>
        <v>3.9999999999999858</v>
      </c>
      <c r="K183">
        <f t="shared" si="39"/>
        <v>0</v>
      </c>
      <c r="L183">
        <f t="shared" si="40"/>
        <v>0</v>
      </c>
      <c r="M183">
        <f t="shared" si="41"/>
        <v>0</v>
      </c>
      <c r="N183">
        <f t="shared" si="42"/>
        <v>0</v>
      </c>
      <c r="O183">
        <f t="shared" si="43"/>
        <v>0</v>
      </c>
      <c r="P183">
        <f t="shared" si="32"/>
        <v>0</v>
      </c>
      <c r="Q183">
        <f t="shared" si="33"/>
        <v>0</v>
      </c>
      <c r="R183">
        <f t="shared" si="34"/>
        <v>0</v>
      </c>
    </row>
    <row r="184" spans="1:18">
      <c r="A184" s="1">
        <v>39856</v>
      </c>
      <c r="B184" t="s">
        <v>0</v>
      </c>
      <c r="C184">
        <v>8</v>
      </c>
      <c r="D184" s="2">
        <v>0.79166666666666663</v>
      </c>
      <c r="E184" s="2">
        <v>0.83333333333333337</v>
      </c>
      <c r="F184" s="34">
        <f t="shared" si="36"/>
        <v>16.000000000000028</v>
      </c>
      <c r="I184">
        <f t="shared" si="37"/>
        <v>16.000000000000028</v>
      </c>
      <c r="J184">
        <f t="shared" si="38"/>
        <v>0</v>
      </c>
      <c r="K184">
        <f t="shared" si="39"/>
        <v>0</v>
      </c>
      <c r="L184">
        <f t="shared" si="40"/>
        <v>0</v>
      </c>
      <c r="M184">
        <f t="shared" si="41"/>
        <v>0</v>
      </c>
      <c r="N184">
        <f t="shared" si="42"/>
        <v>0</v>
      </c>
      <c r="O184">
        <f t="shared" si="43"/>
        <v>0</v>
      </c>
      <c r="P184">
        <f t="shared" si="32"/>
        <v>0</v>
      </c>
      <c r="Q184">
        <f t="shared" si="33"/>
        <v>0</v>
      </c>
      <c r="R184">
        <f t="shared" si="34"/>
        <v>0</v>
      </c>
    </row>
    <row r="185" spans="1:18">
      <c r="A185" s="1">
        <v>39857</v>
      </c>
      <c r="B185" t="s">
        <v>0</v>
      </c>
      <c r="C185">
        <v>8</v>
      </c>
      <c r="D185" s="2">
        <v>0.75</v>
      </c>
      <c r="E185" s="2">
        <v>0.8125</v>
      </c>
      <c r="F185" s="34">
        <f t="shared" si="36"/>
        <v>24</v>
      </c>
      <c r="I185">
        <f t="shared" si="37"/>
        <v>24</v>
      </c>
      <c r="J185">
        <f t="shared" si="38"/>
        <v>0</v>
      </c>
      <c r="K185">
        <f t="shared" si="39"/>
        <v>0</v>
      </c>
      <c r="L185">
        <f t="shared" si="40"/>
        <v>0</v>
      </c>
      <c r="M185">
        <f t="shared" si="41"/>
        <v>0</v>
      </c>
      <c r="N185">
        <f t="shared" si="42"/>
        <v>0</v>
      </c>
      <c r="O185">
        <f t="shared" si="43"/>
        <v>0</v>
      </c>
      <c r="P185">
        <f t="shared" si="32"/>
        <v>0</v>
      </c>
      <c r="Q185">
        <f t="shared" si="33"/>
        <v>0</v>
      </c>
      <c r="R185">
        <f t="shared" si="34"/>
        <v>0</v>
      </c>
    </row>
    <row r="186" spans="1:18">
      <c r="A186" s="1">
        <v>39858</v>
      </c>
      <c r="B186" t="s">
        <v>7</v>
      </c>
      <c r="C186">
        <v>5</v>
      </c>
      <c r="D186" s="2">
        <v>0.27083333333333331</v>
      </c>
      <c r="E186" s="2">
        <v>0.33333333333333331</v>
      </c>
      <c r="F186" s="34">
        <f t="shared" si="36"/>
        <v>15</v>
      </c>
      <c r="I186">
        <f t="shared" si="37"/>
        <v>0</v>
      </c>
      <c r="J186">
        <f t="shared" si="38"/>
        <v>15</v>
      </c>
      <c r="K186">
        <f t="shared" si="39"/>
        <v>0</v>
      </c>
      <c r="L186">
        <f t="shared" si="40"/>
        <v>0</v>
      </c>
      <c r="M186">
        <f t="shared" si="41"/>
        <v>0</v>
      </c>
      <c r="N186">
        <f t="shared" si="42"/>
        <v>0</v>
      </c>
      <c r="O186">
        <f t="shared" si="43"/>
        <v>0</v>
      </c>
      <c r="P186">
        <f t="shared" si="32"/>
        <v>0</v>
      </c>
      <c r="Q186">
        <f t="shared" si="33"/>
        <v>0</v>
      </c>
      <c r="R186">
        <f t="shared" si="34"/>
        <v>0</v>
      </c>
    </row>
    <row r="187" spans="1:18">
      <c r="A187" s="1">
        <v>39860</v>
      </c>
      <c r="B187" t="s">
        <v>0</v>
      </c>
      <c r="C187">
        <v>8</v>
      </c>
      <c r="D187" s="2">
        <v>0.75</v>
      </c>
      <c r="E187" s="2">
        <v>0.8125</v>
      </c>
      <c r="F187" s="34">
        <f t="shared" si="36"/>
        <v>24</v>
      </c>
      <c r="I187">
        <f t="shared" si="37"/>
        <v>24</v>
      </c>
      <c r="J187">
        <f t="shared" si="38"/>
        <v>0</v>
      </c>
      <c r="K187">
        <f t="shared" si="39"/>
        <v>0</v>
      </c>
      <c r="L187">
        <f t="shared" si="40"/>
        <v>0</v>
      </c>
      <c r="M187">
        <f t="shared" si="41"/>
        <v>0</v>
      </c>
      <c r="N187">
        <f t="shared" si="42"/>
        <v>0</v>
      </c>
      <c r="O187">
        <f t="shared" si="43"/>
        <v>0</v>
      </c>
      <c r="P187">
        <f t="shared" si="32"/>
        <v>0</v>
      </c>
      <c r="Q187">
        <f t="shared" si="33"/>
        <v>0</v>
      </c>
      <c r="R187">
        <f t="shared" si="34"/>
        <v>0</v>
      </c>
    </row>
    <row r="188" spans="1:18">
      <c r="A188" s="1">
        <v>39860</v>
      </c>
      <c r="B188" t="s">
        <v>7</v>
      </c>
      <c r="C188">
        <v>1</v>
      </c>
      <c r="D188" s="2">
        <v>0.91666666666666663</v>
      </c>
      <c r="E188" s="2">
        <v>0.95833333333333337</v>
      </c>
      <c r="F188" s="34">
        <f t="shared" si="36"/>
        <v>2.0000000000000036</v>
      </c>
      <c r="I188">
        <f t="shared" si="37"/>
        <v>0</v>
      </c>
      <c r="J188">
        <f t="shared" si="38"/>
        <v>2.0000000000000036</v>
      </c>
      <c r="K188">
        <f t="shared" si="39"/>
        <v>0</v>
      </c>
      <c r="L188">
        <f t="shared" si="40"/>
        <v>0</v>
      </c>
      <c r="M188">
        <f t="shared" si="41"/>
        <v>0</v>
      </c>
      <c r="N188">
        <f t="shared" si="42"/>
        <v>0</v>
      </c>
      <c r="O188">
        <f t="shared" si="43"/>
        <v>0</v>
      </c>
      <c r="P188">
        <f t="shared" si="32"/>
        <v>0</v>
      </c>
      <c r="Q188">
        <f t="shared" si="33"/>
        <v>0</v>
      </c>
      <c r="R188">
        <f t="shared" si="34"/>
        <v>0</v>
      </c>
    </row>
    <row r="189" spans="1:18">
      <c r="A189" s="1">
        <v>39861</v>
      </c>
      <c r="B189" t="s">
        <v>0</v>
      </c>
      <c r="C189">
        <v>8</v>
      </c>
      <c r="D189" s="2">
        <v>0.75</v>
      </c>
      <c r="E189" s="2">
        <v>0.8125</v>
      </c>
      <c r="F189" s="34">
        <f t="shared" si="36"/>
        <v>24</v>
      </c>
      <c r="I189">
        <f t="shared" si="37"/>
        <v>24</v>
      </c>
      <c r="J189">
        <f t="shared" si="38"/>
        <v>0</v>
      </c>
      <c r="K189">
        <f t="shared" si="39"/>
        <v>0</v>
      </c>
      <c r="L189">
        <f t="shared" si="40"/>
        <v>0</v>
      </c>
      <c r="M189">
        <f t="shared" si="41"/>
        <v>0</v>
      </c>
      <c r="N189">
        <f t="shared" si="42"/>
        <v>0</v>
      </c>
      <c r="O189">
        <f t="shared" si="43"/>
        <v>0</v>
      </c>
      <c r="P189">
        <f t="shared" si="32"/>
        <v>0</v>
      </c>
      <c r="Q189">
        <f t="shared" si="33"/>
        <v>0</v>
      </c>
      <c r="R189">
        <f t="shared" si="34"/>
        <v>0</v>
      </c>
    </row>
    <row r="190" spans="1:18">
      <c r="A190" s="1">
        <v>39863</v>
      </c>
      <c r="B190" t="s">
        <v>0</v>
      </c>
      <c r="C190">
        <v>8</v>
      </c>
      <c r="D190" s="2">
        <v>0.79166666666666663</v>
      </c>
      <c r="E190" s="2">
        <v>0.83333333333333337</v>
      </c>
      <c r="F190" s="34">
        <f t="shared" si="36"/>
        <v>16.000000000000028</v>
      </c>
      <c r="I190">
        <f t="shared" si="37"/>
        <v>16.000000000000028</v>
      </c>
      <c r="J190">
        <f t="shared" si="38"/>
        <v>0</v>
      </c>
      <c r="K190">
        <f t="shared" si="39"/>
        <v>0</v>
      </c>
      <c r="L190">
        <f t="shared" si="40"/>
        <v>0</v>
      </c>
      <c r="M190">
        <f t="shared" si="41"/>
        <v>0</v>
      </c>
      <c r="N190">
        <f t="shared" si="42"/>
        <v>0</v>
      </c>
      <c r="O190">
        <f t="shared" si="43"/>
        <v>0</v>
      </c>
      <c r="P190">
        <f t="shared" si="32"/>
        <v>0</v>
      </c>
      <c r="Q190">
        <f t="shared" si="33"/>
        <v>0</v>
      </c>
      <c r="R190">
        <f t="shared" si="34"/>
        <v>0</v>
      </c>
    </row>
    <row r="191" spans="1:18">
      <c r="A191" s="1">
        <v>39864</v>
      </c>
      <c r="B191" t="s">
        <v>0</v>
      </c>
      <c r="C191">
        <v>8</v>
      </c>
      <c r="D191" s="2">
        <v>0.75</v>
      </c>
      <c r="E191" s="2">
        <v>0.8125</v>
      </c>
      <c r="F191" s="34">
        <f t="shared" si="36"/>
        <v>24</v>
      </c>
      <c r="I191">
        <f t="shared" si="37"/>
        <v>24</v>
      </c>
      <c r="J191">
        <f t="shared" si="38"/>
        <v>0</v>
      </c>
      <c r="K191">
        <f t="shared" si="39"/>
        <v>0</v>
      </c>
      <c r="L191">
        <f t="shared" si="40"/>
        <v>0</v>
      </c>
      <c r="M191">
        <f t="shared" si="41"/>
        <v>0</v>
      </c>
      <c r="N191">
        <f t="shared" si="42"/>
        <v>0</v>
      </c>
      <c r="O191">
        <f t="shared" si="43"/>
        <v>0</v>
      </c>
      <c r="P191">
        <f t="shared" si="32"/>
        <v>0</v>
      </c>
      <c r="Q191">
        <f t="shared" si="33"/>
        <v>0</v>
      </c>
      <c r="R191">
        <f t="shared" si="34"/>
        <v>0</v>
      </c>
    </row>
    <row r="192" spans="1:18">
      <c r="A192" s="1">
        <v>39867</v>
      </c>
      <c r="B192" t="s">
        <v>0</v>
      </c>
      <c r="C192">
        <v>8</v>
      </c>
      <c r="D192" s="2">
        <v>0.75</v>
      </c>
      <c r="E192" s="2">
        <v>0.8125</v>
      </c>
      <c r="F192" s="34">
        <f t="shared" si="36"/>
        <v>24</v>
      </c>
      <c r="I192">
        <f t="shared" si="37"/>
        <v>24</v>
      </c>
      <c r="J192">
        <f t="shared" si="38"/>
        <v>0</v>
      </c>
      <c r="K192">
        <f t="shared" si="39"/>
        <v>0</v>
      </c>
      <c r="L192">
        <f t="shared" si="40"/>
        <v>0</v>
      </c>
      <c r="M192">
        <f t="shared" si="41"/>
        <v>0</v>
      </c>
      <c r="N192">
        <f t="shared" si="42"/>
        <v>0</v>
      </c>
      <c r="O192">
        <f t="shared" si="43"/>
        <v>0</v>
      </c>
      <c r="P192">
        <f t="shared" si="32"/>
        <v>0</v>
      </c>
      <c r="Q192">
        <f t="shared" si="33"/>
        <v>0</v>
      </c>
      <c r="R192">
        <f t="shared" si="34"/>
        <v>0</v>
      </c>
    </row>
    <row r="193" spans="1:18">
      <c r="A193" s="1">
        <v>39868</v>
      </c>
      <c r="B193" t="s">
        <v>0</v>
      </c>
      <c r="C193">
        <v>8</v>
      </c>
      <c r="D193" s="2">
        <v>0.75</v>
      </c>
      <c r="E193" s="2">
        <v>0.8125</v>
      </c>
      <c r="F193" s="34">
        <f t="shared" si="36"/>
        <v>24</v>
      </c>
      <c r="I193">
        <f t="shared" si="37"/>
        <v>24</v>
      </c>
      <c r="J193">
        <f t="shared" si="38"/>
        <v>0</v>
      </c>
      <c r="K193">
        <f t="shared" si="39"/>
        <v>0</v>
      </c>
      <c r="L193">
        <f t="shared" si="40"/>
        <v>0</v>
      </c>
      <c r="M193">
        <f t="shared" si="41"/>
        <v>0</v>
      </c>
      <c r="N193">
        <f t="shared" si="42"/>
        <v>0</v>
      </c>
      <c r="O193">
        <f t="shared" si="43"/>
        <v>0</v>
      </c>
      <c r="P193">
        <f t="shared" si="32"/>
        <v>0</v>
      </c>
      <c r="Q193">
        <f t="shared" si="33"/>
        <v>0</v>
      </c>
      <c r="R193">
        <f t="shared" si="34"/>
        <v>0</v>
      </c>
    </row>
    <row r="194" spans="1:18">
      <c r="A194" s="1">
        <v>39869</v>
      </c>
      <c r="B194" t="s">
        <v>7</v>
      </c>
      <c r="C194">
        <v>5</v>
      </c>
      <c r="D194" s="2">
        <v>0.77083333333333337</v>
      </c>
      <c r="E194" s="2">
        <v>0.8125</v>
      </c>
      <c r="F194" s="34">
        <f t="shared" si="36"/>
        <v>9.9999999999999911</v>
      </c>
      <c r="I194">
        <f t="shared" si="37"/>
        <v>0</v>
      </c>
      <c r="J194">
        <f t="shared" si="38"/>
        <v>9.9999999999999911</v>
      </c>
      <c r="K194">
        <f t="shared" si="39"/>
        <v>0</v>
      </c>
      <c r="L194">
        <f t="shared" si="40"/>
        <v>0</v>
      </c>
      <c r="M194">
        <f t="shared" si="41"/>
        <v>0</v>
      </c>
      <c r="N194">
        <f t="shared" si="42"/>
        <v>0</v>
      </c>
      <c r="O194">
        <f t="shared" si="43"/>
        <v>0</v>
      </c>
      <c r="P194">
        <f t="shared" si="32"/>
        <v>0</v>
      </c>
      <c r="Q194">
        <f t="shared" si="33"/>
        <v>0</v>
      </c>
      <c r="R194">
        <f t="shared" si="34"/>
        <v>0</v>
      </c>
    </row>
    <row r="195" spans="1:18">
      <c r="A195" s="1">
        <v>39870</v>
      </c>
      <c r="B195" t="s">
        <v>7</v>
      </c>
      <c r="C195">
        <v>1</v>
      </c>
      <c r="D195" s="2">
        <v>0.75</v>
      </c>
      <c r="E195" s="2">
        <v>0.79166666666666663</v>
      </c>
      <c r="F195" s="34">
        <f t="shared" si="36"/>
        <v>1.9999999999999982</v>
      </c>
      <c r="I195">
        <f t="shared" si="37"/>
        <v>0</v>
      </c>
      <c r="J195">
        <f t="shared" si="38"/>
        <v>1.9999999999999982</v>
      </c>
      <c r="K195">
        <f t="shared" si="39"/>
        <v>0</v>
      </c>
      <c r="L195">
        <f t="shared" si="40"/>
        <v>0</v>
      </c>
      <c r="M195">
        <f t="shared" si="41"/>
        <v>0</v>
      </c>
      <c r="N195">
        <f t="shared" si="42"/>
        <v>0</v>
      </c>
      <c r="O195">
        <f t="shared" si="43"/>
        <v>0</v>
      </c>
      <c r="P195">
        <f t="shared" si="32"/>
        <v>0</v>
      </c>
      <c r="Q195">
        <f t="shared" si="33"/>
        <v>0</v>
      </c>
      <c r="R195">
        <f t="shared" si="34"/>
        <v>0</v>
      </c>
    </row>
    <row r="196" spans="1:18">
      <c r="A196" s="1">
        <v>39870</v>
      </c>
      <c r="B196" t="s">
        <v>0</v>
      </c>
      <c r="C196">
        <v>8</v>
      </c>
      <c r="D196" s="2">
        <v>0.79166666666666663</v>
      </c>
      <c r="E196" s="2">
        <v>0.83333333333333337</v>
      </c>
      <c r="F196" s="34">
        <f t="shared" si="36"/>
        <v>16.000000000000028</v>
      </c>
      <c r="I196">
        <f t="shared" si="37"/>
        <v>16.000000000000028</v>
      </c>
      <c r="J196">
        <f t="shared" si="38"/>
        <v>0</v>
      </c>
      <c r="K196">
        <f t="shared" si="39"/>
        <v>0</v>
      </c>
      <c r="L196">
        <f t="shared" si="40"/>
        <v>0</v>
      </c>
      <c r="M196">
        <f t="shared" si="41"/>
        <v>0</v>
      </c>
      <c r="N196">
        <f t="shared" si="42"/>
        <v>0</v>
      </c>
      <c r="O196">
        <f t="shared" si="43"/>
        <v>0</v>
      </c>
      <c r="P196">
        <f t="shared" si="32"/>
        <v>0</v>
      </c>
      <c r="Q196">
        <f t="shared" si="33"/>
        <v>0</v>
      </c>
      <c r="R196">
        <f t="shared" si="34"/>
        <v>0</v>
      </c>
    </row>
    <row r="197" spans="1:18">
      <c r="A197" s="1">
        <v>39871</v>
      </c>
      <c r="B197" t="s">
        <v>0</v>
      </c>
      <c r="C197">
        <v>8</v>
      </c>
      <c r="D197" s="2">
        <v>0.75</v>
      </c>
      <c r="E197" s="2">
        <v>0.8125</v>
      </c>
      <c r="F197" s="34">
        <f t="shared" si="36"/>
        <v>24</v>
      </c>
      <c r="I197">
        <f t="shared" si="37"/>
        <v>24</v>
      </c>
      <c r="J197">
        <f t="shared" si="38"/>
        <v>0</v>
      </c>
      <c r="K197">
        <f t="shared" si="39"/>
        <v>0</v>
      </c>
      <c r="L197">
        <f t="shared" si="40"/>
        <v>0</v>
      </c>
      <c r="M197">
        <f t="shared" si="41"/>
        <v>0</v>
      </c>
      <c r="N197">
        <f t="shared" si="42"/>
        <v>0</v>
      </c>
      <c r="O197">
        <f t="shared" si="43"/>
        <v>0</v>
      </c>
      <c r="P197">
        <f t="shared" si="32"/>
        <v>0</v>
      </c>
      <c r="Q197">
        <f t="shared" si="33"/>
        <v>0</v>
      </c>
      <c r="R197">
        <f t="shared" si="34"/>
        <v>0</v>
      </c>
    </row>
    <row r="198" spans="1:18">
      <c r="A198" s="1">
        <v>39874</v>
      </c>
      <c r="B198" t="s">
        <v>0</v>
      </c>
      <c r="C198">
        <v>8</v>
      </c>
      <c r="D198" s="2">
        <v>0.75</v>
      </c>
      <c r="E198" s="2">
        <v>0.8125</v>
      </c>
      <c r="F198" s="34">
        <f t="shared" si="36"/>
        <v>24</v>
      </c>
      <c r="I198">
        <f t="shared" si="37"/>
        <v>24</v>
      </c>
      <c r="J198">
        <f t="shared" si="38"/>
        <v>0</v>
      </c>
      <c r="K198">
        <f t="shared" si="39"/>
        <v>0</v>
      </c>
      <c r="L198">
        <f t="shared" si="40"/>
        <v>0</v>
      </c>
      <c r="M198">
        <f t="shared" si="41"/>
        <v>0</v>
      </c>
      <c r="N198">
        <f t="shared" si="42"/>
        <v>0</v>
      </c>
      <c r="O198">
        <f t="shared" si="43"/>
        <v>0</v>
      </c>
      <c r="P198">
        <f t="shared" si="32"/>
        <v>0</v>
      </c>
      <c r="Q198">
        <f t="shared" si="33"/>
        <v>0</v>
      </c>
      <c r="R198">
        <f t="shared" si="34"/>
        <v>0</v>
      </c>
    </row>
    <row r="199" spans="1:18">
      <c r="A199" s="1">
        <v>39874</v>
      </c>
      <c r="B199" t="s">
        <v>7</v>
      </c>
      <c r="C199">
        <v>1</v>
      </c>
      <c r="D199" s="2">
        <v>0.94791666666666663</v>
      </c>
      <c r="E199" s="2">
        <v>0.97916666666666663</v>
      </c>
      <c r="F199" s="34">
        <f t="shared" si="36"/>
        <v>1.5</v>
      </c>
      <c r="I199">
        <f t="shared" si="37"/>
        <v>0</v>
      </c>
      <c r="J199">
        <f t="shared" si="38"/>
        <v>1.5</v>
      </c>
      <c r="K199">
        <f t="shared" si="39"/>
        <v>0</v>
      </c>
      <c r="L199">
        <f t="shared" si="40"/>
        <v>0</v>
      </c>
      <c r="M199">
        <f t="shared" si="41"/>
        <v>0</v>
      </c>
      <c r="N199">
        <f t="shared" si="42"/>
        <v>0</v>
      </c>
      <c r="O199">
        <f t="shared" si="43"/>
        <v>0</v>
      </c>
      <c r="P199">
        <f t="shared" si="32"/>
        <v>0</v>
      </c>
      <c r="Q199">
        <f t="shared" si="33"/>
        <v>0</v>
      </c>
      <c r="R199">
        <f t="shared" si="34"/>
        <v>0</v>
      </c>
    </row>
    <row r="200" spans="1:18">
      <c r="A200" s="1">
        <v>39875</v>
      </c>
      <c r="B200" t="s">
        <v>0</v>
      </c>
      <c r="C200">
        <v>8</v>
      </c>
      <c r="D200" s="2">
        <v>0.75</v>
      </c>
      <c r="E200" s="2">
        <v>0.8125</v>
      </c>
      <c r="F200" s="34">
        <f t="shared" si="36"/>
        <v>24</v>
      </c>
      <c r="I200">
        <f t="shared" si="37"/>
        <v>24</v>
      </c>
      <c r="J200">
        <f t="shared" si="38"/>
        <v>0</v>
      </c>
      <c r="K200">
        <f t="shared" si="39"/>
        <v>0</v>
      </c>
      <c r="L200">
        <f t="shared" si="40"/>
        <v>0</v>
      </c>
      <c r="M200">
        <f t="shared" si="41"/>
        <v>0</v>
      </c>
      <c r="N200">
        <f t="shared" si="42"/>
        <v>0</v>
      </c>
      <c r="O200">
        <f t="shared" si="43"/>
        <v>0</v>
      </c>
      <c r="P200">
        <f t="shared" si="32"/>
        <v>0</v>
      </c>
      <c r="Q200">
        <f t="shared" si="33"/>
        <v>0</v>
      </c>
      <c r="R200">
        <f t="shared" si="34"/>
        <v>0</v>
      </c>
    </row>
    <row r="201" spans="1:18">
      <c r="A201" s="1">
        <v>39875</v>
      </c>
      <c r="B201" t="s">
        <v>7</v>
      </c>
      <c r="C201">
        <v>1</v>
      </c>
      <c r="D201" s="2">
        <v>0.75</v>
      </c>
      <c r="E201" s="2">
        <v>0.79166666666666663</v>
      </c>
      <c r="F201" s="34">
        <f t="shared" si="36"/>
        <v>1.9999999999999982</v>
      </c>
      <c r="I201">
        <f t="shared" si="37"/>
        <v>0</v>
      </c>
      <c r="J201">
        <f t="shared" si="38"/>
        <v>1.9999999999999982</v>
      </c>
      <c r="K201">
        <f t="shared" si="39"/>
        <v>0</v>
      </c>
      <c r="L201">
        <f t="shared" si="40"/>
        <v>0</v>
      </c>
      <c r="M201">
        <f t="shared" si="41"/>
        <v>0</v>
      </c>
      <c r="N201">
        <f t="shared" si="42"/>
        <v>0</v>
      </c>
      <c r="O201">
        <f t="shared" si="43"/>
        <v>0</v>
      </c>
      <c r="P201">
        <f t="shared" si="32"/>
        <v>0</v>
      </c>
      <c r="Q201">
        <f t="shared" si="33"/>
        <v>0</v>
      </c>
      <c r="R201">
        <f t="shared" si="34"/>
        <v>0</v>
      </c>
    </row>
    <row r="202" spans="1:18">
      <c r="A202" s="1">
        <v>39876</v>
      </c>
      <c r="B202" t="s">
        <v>7</v>
      </c>
      <c r="C202">
        <v>6</v>
      </c>
      <c r="D202" s="2">
        <v>0.77083333333333337</v>
      </c>
      <c r="E202" s="2">
        <v>0.8125</v>
      </c>
      <c r="F202" s="34">
        <f t="shared" si="36"/>
        <v>11.999999999999989</v>
      </c>
      <c r="I202">
        <f t="shared" si="37"/>
        <v>0</v>
      </c>
      <c r="J202">
        <f t="shared" si="38"/>
        <v>11.999999999999989</v>
      </c>
      <c r="K202">
        <f t="shared" si="39"/>
        <v>0</v>
      </c>
      <c r="L202">
        <f t="shared" si="40"/>
        <v>0</v>
      </c>
      <c r="M202">
        <f t="shared" si="41"/>
        <v>0</v>
      </c>
      <c r="N202">
        <f t="shared" si="42"/>
        <v>0</v>
      </c>
      <c r="O202">
        <f t="shared" si="43"/>
        <v>0</v>
      </c>
      <c r="P202">
        <f t="shared" si="32"/>
        <v>0</v>
      </c>
      <c r="Q202">
        <f t="shared" si="33"/>
        <v>0</v>
      </c>
      <c r="R202">
        <f t="shared" si="34"/>
        <v>0</v>
      </c>
    </row>
    <row r="203" spans="1:18">
      <c r="A203" s="1">
        <v>39876</v>
      </c>
      <c r="B203" t="s">
        <v>7</v>
      </c>
      <c r="C203">
        <v>1</v>
      </c>
      <c r="D203" s="2">
        <v>0.875</v>
      </c>
      <c r="E203" s="2">
        <v>0.90625</v>
      </c>
      <c r="F203" s="34">
        <f t="shared" si="36"/>
        <v>1.5</v>
      </c>
      <c r="I203">
        <f t="shared" si="37"/>
        <v>0</v>
      </c>
      <c r="J203">
        <f t="shared" si="38"/>
        <v>1.5</v>
      </c>
      <c r="K203">
        <f t="shared" si="39"/>
        <v>0</v>
      </c>
      <c r="L203">
        <f t="shared" si="40"/>
        <v>0</v>
      </c>
      <c r="M203">
        <f t="shared" si="41"/>
        <v>0</v>
      </c>
      <c r="N203">
        <f t="shared" si="42"/>
        <v>0</v>
      </c>
      <c r="O203">
        <f t="shared" si="43"/>
        <v>0</v>
      </c>
      <c r="P203">
        <f t="shared" si="32"/>
        <v>0</v>
      </c>
      <c r="Q203">
        <f t="shared" si="33"/>
        <v>0</v>
      </c>
      <c r="R203">
        <f t="shared" si="34"/>
        <v>0</v>
      </c>
    </row>
    <row r="204" spans="1:18">
      <c r="A204" s="1">
        <v>39877</v>
      </c>
      <c r="B204" t="s">
        <v>7</v>
      </c>
      <c r="C204">
        <v>1</v>
      </c>
      <c r="D204" s="2">
        <v>0.75</v>
      </c>
      <c r="E204" s="2">
        <v>0.79166666666666663</v>
      </c>
      <c r="F204" s="34">
        <f t="shared" si="36"/>
        <v>1.9999999999999982</v>
      </c>
      <c r="I204">
        <f t="shared" si="37"/>
        <v>0</v>
      </c>
      <c r="J204">
        <f t="shared" si="38"/>
        <v>1.9999999999999982</v>
      </c>
      <c r="K204">
        <f t="shared" si="39"/>
        <v>0</v>
      </c>
      <c r="L204">
        <f t="shared" si="40"/>
        <v>0</v>
      </c>
      <c r="M204">
        <f t="shared" si="41"/>
        <v>0</v>
      </c>
      <c r="N204">
        <f t="shared" si="42"/>
        <v>0</v>
      </c>
      <c r="O204">
        <f t="shared" si="43"/>
        <v>0</v>
      </c>
      <c r="P204">
        <f t="shared" si="32"/>
        <v>0</v>
      </c>
      <c r="Q204">
        <f t="shared" si="33"/>
        <v>0</v>
      </c>
      <c r="R204">
        <f t="shared" si="34"/>
        <v>0</v>
      </c>
    </row>
    <row r="205" spans="1:18">
      <c r="A205" s="1">
        <v>39877</v>
      </c>
      <c r="B205" t="s">
        <v>0</v>
      </c>
      <c r="C205">
        <v>8</v>
      </c>
      <c r="D205" s="2">
        <v>0.79166666666666663</v>
      </c>
      <c r="E205" s="2">
        <v>0.83333333333333337</v>
      </c>
      <c r="F205" s="34">
        <f t="shared" si="36"/>
        <v>16.000000000000028</v>
      </c>
      <c r="I205">
        <f t="shared" si="37"/>
        <v>16.000000000000028</v>
      </c>
      <c r="J205">
        <f t="shared" si="38"/>
        <v>0</v>
      </c>
      <c r="K205">
        <f t="shared" si="39"/>
        <v>0</v>
      </c>
      <c r="L205">
        <f t="shared" si="40"/>
        <v>0</v>
      </c>
      <c r="M205">
        <f t="shared" si="41"/>
        <v>0</v>
      </c>
      <c r="N205">
        <f t="shared" si="42"/>
        <v>0</v>
      </c>
      <c r="O205">
        <f t="shared" si="43"/>
        <v>0</v>
      </c>
      <c r="P205">
        <f t="shared" ref="P205:P268" si="44">IF(($B205=I$1),($F205),(0))</f>
        <v>0</v>
      </c>
      <c r="Q205">
        <f t="shared" ref="Q205:Q268" si="45">IF(($B205=J$1),($F205),(0))</f>
        <v>0</v>
      </c>
      <c r="R205">
        <f t="shared" ref="R205:R268" si="46">IF(($B205=K$1),($F205),(0))</f>
        <v>0</v>
      </c>
    </row>
    <row r="206" spans="1:18">
      <c r="A206" s="1">
        <v>39878</v>
      </c>
      <c r="B206" t="s">
        <v>0</v>
      </c>
      <c r="C206">
        <v>8</v>
      </c>
      <c r="D206" s="2">
        <v>0.75</v>
      </c>
      <c r="E206" s="2">
        <v>0.8125</v>
      </c>
      <c r="F206" s="34">
        <f t="shared" si="36"/>
        <v>24</v>
      </c>
      <c r="I206">
        <f t="shared" si="37"/>
        <v>24</v>
      </c>
      <c r="J206">
        <f t="shared" si="38"/>
        <v>0</v>
      </c>
      <c r="K206">
        <f t="shared" si="39"/>
        <v>0</v>
      </c>
      <c r="L206">
        <f t="shared" si="40"/>
        <v>0</v>
      </c>
      <c r="M206">
        <f t="shared" si="41"/>
        <v>0</v>
      </c>
      <c r="N206">
        <f t="shared" si="42"/>
        <v>0</v>
      </c>
      <c r="O206">
        <f t="shared" si="43"/>
        <v>0</v>
      </c>
      <c r="P206">
        <f t="shared" si="44"/>
        <v>0</v>
      </c>
      <c r="Q206">
        <f t="shared" si="45"/>
        <v>0</v>
      </c>
      <c r="R206">
        <f t="shared" si="46"/>
        <v>0</v>
      </c>
    </row>
    <row r="207" spans="1:18">
      <c r="A207" s="1">
        <v>39882</v>
      </c>
      <c r="B207" t="s">
        <v>0</v>
      </c>
      <c r="C207">
        <v>8</v>
      </c>
      <c r="D207" s="2">
        <v>0.75</v>
      </c>
      <c r="E207" s="2">
        <v>0.8125</v>
      </c>
      <c r="F207" s="34">
        <f t="shared" si="36"/>
        <v>24</v>
      </c>
      <c r="I207">
        <f t="shared" si="37"/>
        <v>24</v>
      </c>
      <c r="J207">
        <f t="shared" si="38"/>
        <v>0</v>
      </c>
      <c r="K207">
        <f t="shared" si="39"/>
        <v>0</v>
      </c>
      <c r="L207">
        <f t="shared" si="40"/>
        <v>0</v>
      </c>
      <c r="M207">
        <f t="shared" si="41"/>
        <v>0</v>
      </c>
      <c r="N207">
        <f t="shared" si="42"/>
        <v>0</v>
      </c>
      <c r="O207">
        <f t="shared" si="43"/>
        <v>0</v>
      </c>
      <c r="P207">
        <f t="shared" si="44"/>
        <v>0</v>
      </c>
      <c r="Q207">
        <f t="shared" si="45"/>
        <v>0</v>
      </c>
      <c r="R207">
        <f t="shared" si="46"/>
        <v>0</v>
      </c>
    </row>
    <row r="208" spans="1:18">
      <c r="A208" s="1">
        <v>39882</v>
      </c>
      <c r="B208" t="s">
        <v>7</v>
      </c>
      <c r="C208">
        <v>1</v>
      </c>
      <c r="D208" s="2">
        <v>0.75</v>
      </c>
      <c r="E208" s="2">
        <v>0.79166666666666663</v>
      </c>
      <c r="F208" s="34">
        <f t="shared" si="36"/>
        <v>1.9999999999999982</v>
      </c>
      <c r="I208">
        <f t="shared" si="37"/>
        <v>0</v>
      </c>
      <c r="J208">
        <f t="shared" si="38"/>
        <v>1.9999999999999982</v>
      </c>
      <c r="K208">
        <f t="shared" si="39"/>
        <v>0</v>
      </c>
      <c r="L208">
        <f t="shared" si="40"/>
        <v>0</v>
      </c>
      <c r="M208">
        <f t="shared" si="41"/>
        <v>0</v>
      </c>
      <c r="N208">
        <f t="shared" si="42"/>
        <v>0</v>
      </c>
      <c r="O208">
        <f t="shared" si="43"/>
        <v>0</v>
      </c>
      <c r="P208">
        <f t="shared" si="44"/>
        <v>0</v>
      </c>
      <c r="Q208">
        <f t="shared" si="45"/>
        <v>0</v>
      </c>
      <c r="R208">
        <f t="shared" si="46"/>
        <v>0</v>
      </c>
    </row>
    <row r="209" spans="1:18">
      <c r="A209" s="1">
        <v>39884</v>
      </c>
      <c r="B209" t="s">
        <v>7</v>
      </c>
      <c r="C209">
        <v>5</v>
      </c>
      <c r="D209" s="2">
        <v>0.75</v>
      </c>
      <c r="E209" s="2">
        <v>0.79166666666666663</v>
      </c>
      <c r="F209" s="34">
        <f t="shared" si="36"/>
        <v>9.9999999999999911</v>
      </c>
      <c r="I209">
        <f t="shared" si="37"/>
        <v>0</v>
      </c>
      <c r="J209">
        <f t="shared" si="38"/>
        <v>9.9999999999999911</v>
      </c>
      <c r="K209">
        <f t="shared" si="39"/>
        <v>0</v>
      </c>
      <c r="L209">
        <f t="shared" si="40"/>
        <v>0</v>
      </c>
      <c r="M209">
        <f t="shared" si="41"/>
        <v>0</v>
      </c>
      <c r="N209">
        <f t="shared" si="42"/>
        <v>0</v>
      </c>
      <c r="O209">
        <f t="shared" si="43"/>
        <v>0</v>
      </c>
      <c r="P209">
        <f t="shared" si="44"/>
        <v>0</v>
      </c>
      <c r="Q209">
        <f t="shared" si="45"/>
        <v>0</v>
      </c>
      <c r="R209">
        <f t="shared" si="46"/>
        <v>0</v>
      </c>
    </row>
    <row r="210" spans="1:18">
      <c r="A210" s="1">
        <v>39884</v>
      </c>
      <c r="B210" t="s">
        <v>0</v>
      </c>
      <c r="C210">
        <v>8</v>
      </c>
      <c r="D210" s="2">
        <v>0.79166666666666663</v>
      </c>
      <c r="E210" s="2">
        <v>0.83333333333333337</v>
      </c>
      <c r="F210" s="34">
        <f t="shared" si="36"/>
        <v>16.000000000000028</v>
      </c>
      <c r="I210">
        <f t="shared" si="37"/>
        <v>16.000000000000028</v>
      </c>
      <c r="J210">
        <f t="shared" si="38"/>
        <v>0</v>
      </c>
      <c r="K210">
        <f t="shared" si="39"/>
        <v>0</v>
      </c>
      <c r="L210">
        <f t="shared" si="40"/>
        <v>0</v>
      </c>
      <c r="M210">
        <f t="shared" si="41"/>
        <v>0</v>
      </c>
      <c r="N210">
        <f t="shared" si="42"/>
        <v>0</v>
      </c>
      <c r="O210">
        <f t="shared" si="43"/>
        <v>0</v>
      </c>
      <c r="P210">
        <f t="shared" si="44"/>
        <v>0</v>
      </c>
      <c r="Q210">
        <f t="shared" si="45"/>
        <v>0</v>
      </c>
      <c r="R210">
        <f t="shared" si="46"/>
        <v>0</v>
      </c>
    </row>
    <row r="211" spans="1:18">
      <c r="A211" s="1">
        <v>39884</v>
      </c>
      <c r="B211" t="s">
        <v>7</v>
      </c>
      <c r="C211">
        <v>1</v>
      </c>
      <c r="D211" s="2">
        <v>0.92708333333333337</v>
      </c>
      <c r="E211" s="2">
        <v>0.95833333333333337</v>
      </c>
      <c r="F211" s="34">
        <f t="shared" si="36"/>
        <v>1.5</v>
      </c>
      <c r="I211">
        <f t="shared" si="37"/>
        <v>0</v>
      </c>
      <c r="J211">
        <f t="shared" si="38"/>
        <v>1.5</v>
      </c>
      <c r="K211">
        <f t="shared" si="39"/>
        <v>0</v>
      </c>
      <c r="L211">
        <f t="shared" si="40"/>
        <v>0</v>
      </c>
      <c r="M211">
        <f t="shared" si="41"/>
        <v>0</v>
      </c>
      <c r="N211">
        <f t="shared" si="42"/>
        <v>0</v>
      </c>
      <c r="O211">
        <f t="shared" si="43"/>
        <v>0</v>
      </c>
      <c r="P211">
        <f t="shared" si="44"/>
        <v>0</v>
      </c>
      <c r="Q211">
        <f t="shared" si="45"/>
        <v>0</v>
      </c>
      <c r="R211">
        <f t="shared" si="46"/>
        <v>0</v>
      </c>
    </row>
    <row r="212" spans="1:18">
      <c r="A212" s="1">
        <v>39889</v>
      </c>
      <c r="B212" t="s">
        <v>0</v>
      </c>
      <c r="C212">
        <v>8</v>
      </c>
      <c r="D212" s="2">
        <v>0.75</v>
      </c>
      <c r="E212" s="2">
        <v>0.8125</v>
      </c>
      <c r="F212" s="34">
        <f t="shared" si="36"/>
        <v>24</v>
      </c>
      <c r="I212">
        <f t="shared" si="37"/>
        <v>24</v>
      </c>
      <c r="J212">
        <f t="shared" si="38"/>
        <v>0</v>
      </c>
      <c r="K212">
        <f t="shared" si="39"/>
        <v>0</v>
      </c>
      <c r="L212">
        <f t="shared" si="40"/>
        <v>0</v>
      </c>
      <c r="M212">
        <f t="shared" si="41"/>
        <v>0</v>
      </c>
      <c r="N212">
        <f t="shared" si="42"/>
        <v>0</v>
      </c>
      <c r="O212">
        <f t="shared" si="43"/>
        <v>0</v>
      </c>
      <c r="P212">
        <f t="shared" si="44"/>
        <v>0</v>
      </c>
      <c r="Q212">
        <f t="shared" si="45"/>
        <v>0</v>
      </c>
      <c r="R212">
        <f t="shared" si="46"/>
        <v>0</v>
      </c>
    </row>
    <row r="213" spans="1:18">
      <c r="A213" s="1">
        <v>39891</v>
      </c>
      <c r="B213" t="s">
        <v>0</v>
      </c>
      <c r="C213">
        <v>8</v>
      </c>
      <c r="D213" s="2">
        <v>0.79166666666666663</v>
      </c>
      <c r="E213" s="2">
        <v>0.83333333333333337</v>
      </c>
      <c r="F213" s="34">
        <f t="shared" si="36"/>
        <v>16.000000000000028</v>
      </c>
      <c r="I213">
        <f t="shared" si="37"/>
        <v>16.000000000000028</v>
      </c>
      <c r="J213">
        <f t="shared" si="38"/>
        <v>0</v>
      </c>
      <c r="K213">
        <f t="shared" si="39"/>
        <v>0</v>
      </c>
      <c r="L213">
        <f t="shared" si="40"/>
        <v>0</v>
      </c>
      <c r="M213">
        <f t="shared" si="41"/>
        <v>0</v>
      </c>
      <c r="N213">
        <f t="shared" si="42"/>
        <v>0</v>
      </c>
      <c r="O213">
        <f t="shared" si="43"/>
        <v>0</v>
      </c>
      <c r="P213">
        <f t="shared" si="44"/>
        <v>0</v>
      </c>
      <c r="Q213">
        <f t="shared" si="45"/>
        <v>0</v>
      </c>
      <c r="R213">
        <f t="shared" si="46"/>
        <v>0</v>
      </c>
    </row>
    <row r="214" spans="1:18">
      <c r="A214" s="1">
        <v>39896</v>
      </c>
      <c r="B214" t="s">
        <v>0</v>
      </c>
      <c r="C214">
        <v>8</v>
      </c>
      <c r="D214" s="2">
        <v>0.75</v>
      </c>
      <c r="E214" s="2">
        <v>0.8125</v>
      </c>
      <c r="F214" s="34">
        <f t="shared" si="36"/>
        <v>24</v>
      </c>
      <c r="I214">
        <f t="shared" si="37"/>
        <v>24</v>
      </c>
      <c r="J214">
        <f t="shared" si="38"/>
        <v>0</v>
      </c>
      <c r="K214">
        <f t="shared" si="39"/>
        <v>0</v>
      </c>
      <c r="L214">
        <f t="shared" si="40"/>
        <v>0</v>
      </c>
      <c r="M214">
        <f t="shared" si="41"/>
        <v>0</v>
      </c>
      <c r="N214">
        <f t="shared" si="42"/>
        <v>0</v>
      </c>
      <c r="O214">
        <f t="shared" si="43"/>
        <v>0</v>
      </c>
      <c r="P214">
        <f t="shared" si="44"/>
        <v>0</v>
      </c>
      <c r="Q214">
        <f t="shared" si="45"/>
        <v>0</v>
      </c>
      <c r="R214">
        <f t="shared" si="46"/>
        <v>0</v>
      </c>
    </row>
    <row r="215" spans="1:18">
      <c r="A215" s="1">
        <v>39897</v>
      </c>
      <c r="B215" t="s">
        <v>7</v>
      </c>
      <c r="C215" s="94">
        <v>1</v>
      </c>
      <c r="D215" s="2">
        <v>0.77083333333333337</v>
      </c>
      <c r="E215" s="2">
        <v>0.8125</v>
      </c>
      <c r="F215" s="34">
        <f t="shared" si="36"/>
        <v>1.9999999999999982</v>
      </c>
      <c r="I215">
        <f t="shared" si="37"/>
        <v>0</v>
      </c>
      <c r="J215">
        <f t="shared" si="38"/>
        <v>1.9999999999999982</v>
      </c>
      <c r="K215">
        <f t="shared" si="39"/>
        <v>0</v>
      </c>
      <c r="L215">
        <f t="shared" si="40"/>
        <v>0</v>
      </c>
      <c r="M215">
        <f t="shared" si="41"/>
        <v>0</v>
      </c>
      <c r="N215">
        <f t="shared" si="42"/>
        <v>0</v>
      </c>
      <c r="O215">
        <f t="shared" si="43"/>
        <v>0</v>
      </c>
      <c r="P215">
        <f t="shared" si="44"/>
        <v>0</v>
      </c>
      <c r="Q215">
        <f t="shared" si="45"/>
        <v>0</v>
      </c>
      <c r="R215">
        <f t="shared" si="46"/>
        <v>0</v>
      </c>
    </row>
    <row r="216" spans="1:18">
      <c r="A216" s="1">
        <v>39899</v>
      </c>
      <c r="B216" t="s">
        <v>0</v>
      </c>
      <c r="C216">
        <v>1</v>
      </c>
      <c r="D216" s="2">
        <v>0.75</v>
      </c>
      <c r="E216" s="2">
        <v>0.76041666666666663</v>
      </c>
      <c r="F216" s="34">
        <f t="shared" si="36"/>
        <v>0.49999999999999822</v>
      </c>
      <c r="I216">
        <f t="shared" si="37"/>
        <v>0.49999999999999822</v>
      </c>
      <c r="J216">
        <f t="shared" si="38"/>
        <v>0</v>
      </c>
      <c r="K216">
        <f t="shared" si="39"/>
        <v>0</v>
      </c>
      <c r="L216">
        <f t="shared" si="40"/>
        <v>0</v>
      </c>
      <c r="M216">
        <f t="shared" si="41"/>
        <v>0</v>
      </c>
      <c r="N216">
        <f t="shared" si="42"/>
        <v>0</v>
      </c>
      <c r="O216">
        <f t="shared" si="43"/>
        <v>0</v>
      </c>
      <c r="P216">
        <f t="shared" si="44"/>
        <v>0</v>
      </c>
      <c r="Q216">
        <f t="shared" si="45"/>
        <v>0</v>
      </c>
      <c r="R216">
        <f t="shared" si="46"/>
        <v>0</v>
      </c>
    </row>
    <row r="217" spans="1:18">
      <c r="A217" s="1">
        <v>39903</v>
      </c>
      <c r="B217" t="s">
        <v>0</v>
      </c>
      <c r="C217">
        <v>8</v>
      </c>
      <c r="D217" s="2">
        <v>0.75</v>
      </c>
      <c r="E217" s="2">
        <v>0.8125</v>
      </c>
      <c r="F217" s="34">
        <f t="shared" si="36"/>
        <v>24</v>
      </c>
      <c r="I217">
        <f t="shared" si="37"/>
        <v>24</v>
      </c>
      <c r="J217">
        <f t="shared" si="38"/>
        <v>0</v>
      </c>
      <c r="K217">
        <f t="shared" si="39"/>
        <v>0</v>
      </c>
      <c r="L217">
        <f t="shared" si="40"/>
        <v>0</v>
      </c>
      <c r="M217">
        <f t="shared" si="41"/>
        <v>0</v>
      </c>
      <c r="N217">
        <f t="shared" si="42"/>
        <v>0</v>
      </c>
      <c r="O217">
        <f t="shared" si="43"/>
        <v>0</v>
      </c>
      <c r="P217">
        <f t="shared" si="44"/>
        <v>0</v>
      </c>
      <c r="Q217">
        <f t="shared" si="45"/>
        <v>0</v>
      </c>
      <c r="R217">
        <f t="shared" si="46"/>
        <v>0</v>
      </c>
    </row>
    <row r="218" spans="1:18">
      <c r="A218" s="1">
        <v>39895</v>
      </c>
      <c r="B218" t="s">
        <v>568</v>
      </c>
      <c r="C218">
        <v>8</v>
      </c>
      <c r="D218" s="2">
        <v>0.79166666666666663</v>
      </c>
      <c r="E218" s="2">
        <v>0.83333333333333337</v>
      </c>
      <c r="F218" s="34">
        <f t="shared" si="36"/>
        <v>16.000000000000028</v>
      </c>
      <c r="I218">
        <f t="shared" si="37"/>
        <v>0</v>
      </c>
      <c r="J218">
        <f t="shared" si="38"/>
        <v>0</v>
      </c>
      <c r="K218">
        <f t="shared" si="39"/>
        <v>0</v>
      </c>
      <c r="L218">
        <f t="shared" si="40"/>
        <v>0</v>
      </c>
      <c r="M218">
        <f t="shared" si="41"/>
        <v>0</v>
      </c>
      <c r="N218">
        <f t="shared" si="42"/>
        <v>0</v>
      </c>
      <c r="O218">
        <f t="shared" si="43"/>
        <v>0</v>
      </c>
      <c r="P218">
        <f t="shared" si="44"/>
        <v>0</v>
      </c>
      <c r="Q218">
        <f t="shared" si="45"/>
        <v>16.000000000000028</v>
      </c>
      <c r="R218">
        <f t="shared" si="46"/>
        <v>0</v>
      </c>
    </row>
    <row r="219" spans="1:18">
      <c r="A219" s="1">
        <v>39897</v>
      </c>
      <c r="B219" t="s">
        <v>568</v>
      </c>
      <c r="C219">
        <v>8</v>
      </c>
      <c r="D219" s="2">
        <v>0.79166666666666663</v>
      </c>
      <c r="E219" s="2">
        <v>0.83333333333333337</v>
      </c>
      <c r="F219" s="34">
        <f t="shared" si="36"/>
        <v>16.000000000000028</v>
      </c>
      <c r="I219">
        <f t="shared" si="37"/>
        <v>0</v>
      </c>
      <c r="J219">
        <f t="shared" si="38"/>
        <v>0</v>
      </c>
      <c r="K219">
        <f t="shared" si="39"/>
        <v>0</v>
      </c>
      <c r="L219">
        <f t="shared" si="40"/>
        <v>0</v>
      </c>
      <c r="M219">
        <f t="shared" si="41"/>
        <v>0</v>
      </c>
      <c r="N219">
        <f t="shared" si="42"/>
        <v>0</v>
      </c>
      <c r="O219">
        <f t="shared" si="43"/>
        <v>0</v>
      </c>
      <c r="P219">
        <f t="shared" si="44"/>
        <v>0</v>
      </c>
      <c r="Q219">
        <f t="shared" si="45"/>
        <v>16.000000000000028</v>
      </c>
      <c r="R219">
        <f t="shared" si="46"/>
        <v>0</v>
      </c>
    </row>
    <row r="220" spans="1:18">
      <c r="A220" s="1">
        <v>39903</v>
      </c>
      <c r="B220" s="2" t="s">
        <v>568</v>
      </c>
      <c r="C220">
        <v>8</v>
      </c>
      <c r="D220" s="2">
        <v>0.8125</v>
      </c>
      <c r="E220" s="2">
        <v>0.85416666666666663</v>
      </c>
      <c r="F220" s="34">
        <f t="shared" si="36"/>
        <v>15.999999999999986</v>
      </c>
      <c r="I220">
        <f t="shared" si="37"/>
        <v>0</v>
      </c>
      <c r="J220">
        <f t="shared" si="38"/>
        <v>0</v>
      </c>
      <c r="K220">
        <f t="shared" si="39"/>
        <v>0</v>
      </c>
      <c r="L220">
        <f t="shared" si="40"/>
        <v>0</v>
      </c>
      <c r="M220">
        <f t="shared" si="41"/>
        <v>0</v>
      </c>
      <c r="N220">
        <f t="shared" si="42"/>
        <v>0</v>
      </c>
      <c r="O220">
        <f t="shared" si="43"/>
        <v>0</v>
      </c>
      <c r="P220">
        <f t="shared" si="44"/>
        <v>0</v>
      </c>
      <c r="Q220">
        <f t="shared" si="45"/>
        <v>15.999999999999986</v>
      </c>
      <c r="R220">
        <f t="shared" si="46"/>
        <v>0</v>
      </c>
    </row>
    <row r="221" spans="1:18">
      <c r="A221" s="1">
        <v>39905</v>
      </c>
      <c r="B221" t="s">
        <v>7</v>
      </c>
      <c r="C221">
        <v>2</v>
      </c>
      <c r="D221" s="2">
        <v>0.75</v>
      </c>
      <c r="E221" s="2">
        <v>0.79166666666666663</v>
      </c>
      <c r="F221" s="34">
        <f t="shared" si="36"/>
        <v>3.9999999999999964</v>
      </c>
      <c r="I221">
        <f t="shared" si="37"/>
        <v>0</v>
      </c>
      <c r="J221">
        <f t="shared" si="38"/>
        <v>3.9999999999999964</v>
      </c>
      <c r="K221">
        <f t="shared" si="39"/>
        <v>0</v>
      </c>
      <c r="L221">
        <f t="shared" si="40"/>
        <v>0</v>
      </c>
      <c r="M221">
        <f t="shared" si="41"/>
        <v>0</v>
      </c>
      <c r="N221">
        <f t="shared" si="42"/>
        <v>0</v>
      </c>
      <c r="O221">
        <f t="shared" si="43"/>
        <v>0</v>
      </c>
      <c r="P221">
        <f t="shared" si="44"/>
        <v>0</v>
      </c>
      <c r="Q221">
        <f t="shared" si="45"/>
        <v>0</v>
      </c>
      <c r="R221">
        <f t="shared" si="46"/>
        <v>0</v>
      </c>
    </row>
    <row r="222" spans="1:18">
      <c r="A222" s="1">
        <v>39905</v>
      </c>
      <c r="B222" t="s">
        <v>0</v>
      </c>
      <c r="C222">
        <v>2</v>
      </c>
      <c r="D222" s="2">
        <v>0.8125</v>
      </c>
      <c r="E222" s="2">
        <v>0.84375</v>
      </c>
      <c r="F222" s="34">
        <f t="shared" si="36"/>
        <v>3</v>
      </c>
      <c r="I222">
        <f t="shared" si="37"/>
        <v>3</v>
      </c>
      <c r="J222">
        <f t="shared" si="38"/>
        <v>0</v>
      </c>
      <c r="K222">
        <f t="shared" si="39"/>
        <v>0</v>
      </c>
      <c r="L222">
        <f t="shared" si="40"/>
        <v>0</v>
      </c>
      <c r="M222">
        <f t="shared" si="41"/>
        <v>0</v>
      </c>
      <c r="N222">
        <f t="shared" si="42"/>
        <v>0</v>
      </c>
      <c r="O222">
        <f t="shared" si="43"/>
        <v>0</v>
      </c>
      <c r="P222">
        <f t="shared" si="44"/>
        <v>0</v>
      </c>
      <c r="Q222">
        <f t="shared" si="45"/>
        <v>0</v>
      </c>
      <c r="R222">
        <f t="shared" si="46"/>
        <v>0</v>
      </c>
    </row>
    <row r="223" spans="1:18">
      <c r="A223" s="1">
        <v>39905</v>
      </c>
      <c r="B223" t="s">
        <v>7</v>
      </c>
      <c r="C223">
        <v>2</v>
      </c>
      <c r="D223" s="2">
        <v>0.8125</v>
      </c>
      <c r="E223" s="2">
        <v>0.83333333333333337</v>
      </c>
      <c r="F223" s="34">
        <f t="shared" si="36"/>
        <v>2.0000000000000036</v>
      </c>
      <c r="I223">
        <f t="shared" si="37"/>
        <v>0</v>
      </c>
      <c r="J223">
        <f t="shared" si="38"/>
        <v>2.0000000000000036</v>
      </c>
      <c r="K223">
        <f t="shared" si="39"/>
        <v>0</v>
      </c>
      <c r="L223">
        <f t="shared" si="40"/>
        <v>0</v>
      </c>
      <c r="M223">
        <f t="shared" si="41"/>
        <v>0</v>
      </c>
      <c r="N223">
        <f t="shared" si="42"/>
        <v>0</v>
      </c>
      <c r="O223">
        <f t="shared" si="43"/>
        <v>0</v>
      </c>
      <c r="P223">
        <f t="shared" si="44"/>
        <v>0</v>
      </c>
      <c r="Q223">
        <f t="shared" si="45"/>
        <v>0</v>
      </c>
      <c r="R223">
        <f t="shared" si="46"/>
        <v>0</v>
      </c>
    </row>
    <row r="224" spans="1:18">
      <c r="A224" s="1">
        <v>39906</v>
      </c>
      <c r="B224" t="s">
        <v>568</v>
      </c>
      <c r="C224">
        <v>8</v>
      </c>
      <c r="D224" s="2">
        <v>0.79166666666666663</v>
      </c>
      <c r="E224" s="2">
        <v>0.83333333333333337</v>
      </c>
      <c r="F224" s="34">
        <f t="shared" si="36"/>
        <v>16.000000000000028</v>
      </c>
      <c r="I224">
        <f t="shared" si="37"/>
        <v>0</v>
      </c>
      <c r="J224">
        <f t="shared" si="38"/>
        <v>0</v>
      </c>
      <c r="K224">
        <f t="shared" si="39"/>
        <v>0</v>
      </c>
      <c r="L224">
        <f t="shared" si="40"/>
        <v>0</v>
      </c>
      <c r="M224">
        <f t="shared" si="41"/>
        <v>0</v>
      </c>
      <c r="N224">
        <f t="shared" si="42"/>
        <v>0</v>
      </c>
      <c r="O224">
        <f t="shared" si="43"/>
        <v>0</v>
      </c>
      <c r="P224">
        <f t="shared" si="44"/>
        <v>0</v>
      </c>
      <c r="Q224">
        <f t="shared" si="45"/>
        <v>16.000000000000028</v>
      </c>
      <c r="R224">
        <f t="shared" si="46"/>
        <v>0</v>
      </c>
    </row>
    <row r="225" spans="1:18">
      <c r="A225" s="1">
        <v>39909</v>
      </c>
      <c r="B225" t="s">
        <v>0</v>
      </c>
      <c r="C225">
        <v>3</v>
      </c>
      <c r="D225" s="2">
        <v>0.75</v>
      </c>
      <c r="E225" s="2">
        <v>0.78125</v>
      </c>
      <c r="F225" s="34">
        <f t="shared" si="36"/>
        <v>4.5</v>
      </c>
      <c r="I225">
        <f t="shared" si="37"/>
        <v>4.5</v>
      </c>
      <c r="J225">
        <f t="shared" si="38"/>
        <v>0</v>
      </c>
      <c r="K225">
        <f t="shared" si="39"/>
        <v>0</v>
      </c>
      <c r="L225">
        <f t="shared" si="40"/>
        <v>0</v>
      </c>
      <c r="M225">
        <f t="shared" si="41"/>
        <v>0</v>
      </c>
      <c r="N225">
        <f t="shared" si="42"/>
        <v>0</v>
      </c>
      <c r="O225">
        <f t="shared" si="43"/>
        <v>0</v>
      </c>
      <c r="P225">
        <f t="shared" si="44"/>
        <v>0</v>
      </c>
      <c r="Q225">
        <f t="shared" si="45"/>
        <v>0</v>
      </c>
      <c r="R225">
        <f t="shared" si="46"/>
        <v>0</v>
      </c>
    </row>
    <row r="226" spans="1:18">
      <c r="A226" s="1">
        <v>39909</v>
      </c>
      <c r="B226" t="s">
        <v>0</v>
      </c>
      <c r="C226">
        <v>5</v>
      </c>
      <c r="D226" s="2">
        <v>0.78125</v>
      </c>
      <c r="E226" s="2">
        <v>0.8125</v>
      </c>
      <c r="F226" s="34">
        <f t="shared" si="36"/>
        <v>7.5</v>
      </c>
      <c r="I226">
        <f t="shared" si="37"/>
        <v>7.5</v>
      </c>
      <c r="J226">
        <f t="shared" si="38"/>
        <v>0</v>
      </c>
      <c r="K226">
        <f t="shared" si="39"/>
        <v>0</v>
      </c>
      <c r="L226">
        <f t="shared" si="40"/>
        <v>0</v>
      </c>
      <c r="M226">
        <f t="shared" si="41"/>
        <v>0</v>
      </c>
      <c r="N226">
        <f t="shared" si="42"/>
        <v>0</v>
      </c>
      <c r="O226">
        <f t="shared" si="43"/>
        <v>0</v>
      </c>
      <c r="P226">
        <f t="shared" si="44"/>
        <v>0</v>
      </c>
      <c r="Q226">
        <f t="shared" si="45"/>
        <v>0</v>
      </c>
      <c r="R226">
        <f t="shared" si="46"/>
        <v>0</v>
      </c>
    </row>
    <row r="227" spans="1:18">
      <c r="A227" s="1">
        <v>39910</v>
      </c>
      <c r="B227" t="s">
        <v>0</v>
      </c>
      <c r="C227">
        <v>8</v>
      </c>
      <c r="D227" s="2">
        <v>0.75</v>
      </c>
      <c r="E227" s="2">
        <v>0.8125</v>
      </c>
      <c r="F227" s="34">
        <f t="shared" si="36"/>
        <v>24</v>
      </c>
      <c r="I227">
        <f t="shared" si="37"/>
        <v>24</v>
      </c>
      <c r="J227">
        <f t="shared" si="38"/>
        <v>0</v>
      </c>
      <c r="K227">
        <f t="shared" si="39"/>
        <v>0</v>
      </c>
      <c r="L227">
        <f t="shared" si="40"/>
        <v>0</v>
      </c>
      <c r="M227">
        <f t="shared" si="41"/>
        <v>0</v>
      </c>
      <c r="N227">
        <f t="shared" si="42"/>
        <v>0</v>
      </c>
      <c r="O227">
        <f t="shared" si="43"/>
        <v>0</v>
      </c>
      <c r="P227">
        <f t="shared" si="44"/>
        <v>0</v>
      </c>
      <c r="Q227">
        <f t="shared" si="45"/>
        <v>0</v>
      </c>
      <c r="R227">
        <f t="shared" si="46"/>
        <v>0</v>
      </c>
    </row>
    <row r="228" spans="1:18">
      <c r="A228" s="1">
        <v>39912</v>
      </c>
      <c r="B228" t="s">
        <v>0</v>
      </c>
      <c r="C228">
        <v>5</v>
      </c>
      <c r="D228" s="2">
        <v>0.75</v>
      </c>
      <c r="E228" s="2">
        <v>0.78125</v>
      </c>
      <c r="F228" s="34">
        <f t="shared" si="36"/>
        <v>7.5</v>
      </c>
      <c r="I228">
        <f t="shared" si="37"/>
        <v>7.5</v>
      </c>
      <c r="J228">
        <f t="shared" si="38"/>
        <v>0</v>
      </c>
      <c r="K228">
        <f t="shared" si="39"/>
        <v>0</v>
      </c>
      <c r="L228">
        <f t="shared" si="40"/>
        <v>0</v>
      </c>
      <c r="M228">
        <f t="shared" si="41"/>
        <v>0</v>
      </c>
      <c r="N228">
        <f t="shared" si="42"/>
        <v>0</v>
      </c>
      <c r="O228">
        <f t="shared" si="43"/>
        <v>0</v>
      </c>
      <c r="P228">
        <f t="shared" si="44"/>
        <v>0</v>
      </c>
      <c r="Q228">
        <f t="shared" si="45"/>
        <v>0</v>
      </c>
      <c r="R228">
        <f t="shared" si="46"/>
        <v>0</v>
      </c>
    </row>
    <row r="229" spans="1:18">
      <c r="A229" s="1">
        <v>39912</v>
      </c>
      <c r="B229" t="s">
        <v>0</v>
      </c>
      <c r="C229">
        <v>3</v>
      </c>
      <c r="D229" s="2">
        <v>0.79166666666666663</v>
      </c>
      <c r="E229" s="2">
        <v>0.83333333333333337</v>
      </c>
      <c r="F229" s="34">
        <f t="shared" ref="F229:F292" si="47">C229*(E229-D229)*2*24</f>
        <v>6.0000000000000107</v>
      </c>
      <c r="I229">
        <f t="shared" ref="I229:I292" si="48">IF(($B229=B$1),($F229),(0))</f>
        <v>6.0000000000000107</v>
      </c>
      <c r="J229">
        <f t="shared" ref="J229:J292" si="49">IF(($B229=C$1),($F229),(0))</f>
        <v>0</v>
      </c>
      <c r="K229">
        <f t="shared" ref="K229:K292" si="50">IF(($B229=D$1),($F229),(0))</f>
        <v>0</v>
      </c>
      <c r="L229">
        <f t="shared" ref="L229:L292" si="51">IF(($B229=E$1),($F229),(0))</f>
        <v>0</v>
      </c>
      <c r="M229">
        <f t="shared" ref="M229:M292" si="52">IF(($B229=F$1),($F229),(0))</f>
        <v>0</v>
      </c>
      <c r="N229">
        <f t="shared" ref="N229:N292" si="53">IF(($B229=G$1),($F229),(0))</f>
        <v>0</v>
      </c>
      <c r="O229">
        <f t="shared" ref="O229:O292" si="54">IF(($B229=H$1),($F229),(0))</f>
        <v>0</v>
      </c>
      <c r="P229">
        <f t="shared" si="44"/>
        <v>0</v>
      </c>
      <c r="Q229">
        <f t="shared" si="45"/>
        <v>0</v>
      </c>
      <c r="R229">
        <f t="shared" si="46"/>
        <v>0</v>
      </c>
    </row>
    <row r="230" spans="1:18">
      <c r="A230" s="1">
        <v>39913</v>
      </c>
      <c r="B230" t="s">
        <v>0</v>
      </c>
      <c r="C230">
        <v>7</v>
      </c>
      <c r="D230" s="2">
        <v>0.75</v>
      </c>
      <c r="E230" s="2">
        <v>0.78125</v>
      </c>
      <c r="F230" s="34">
        <f t="shared" si="47"/>
        <v>10.5</v>
      </c>
      <c r="I230">
        <f t="shared" si="48"/>
        <v>10.5</v>
      </c>
      <c r="J230">
        <f t="shared" si="49"/>
        <v>0</v>
      </c>
      <c r="K230">
        <f t="shared" si="50"/>
        <v>0</v>
      </c>
      <c r="L230">
        <f t="shared" si="51"/>
        <v>0</v>
      </c>
      <c r="M230">
        <f t="shared" si="52"/>
        <v>0</v>
      </c>
      <c r="N230">
        <f t="shared" si="53"/>
        <v>0</v>
      </c>
      <c r="O230">
        <f t="shared" si="54"/>
        <v>0</v>
      </c>
      <c r="P230">
        <f t="shared" si="44"/>
        <v>0</v>
      </c>
      <c r="Q230">
        <f t="shared" si="45"/>
        <v>0</v>
      </c>
      <c r="R230">
        <f t="shared" si="46"/>
        <v>0</v>
      </c>
    </row>
    <row r="231" spans="1:18">
      <c r="A231" s="1">
        <v>39916</v>
      </c>
      <c r="B231" t="s">
        <v>0</v>
      </c>
      <c r="C231">
        <v>1</v>
      </c>
      <c r="D231" s="2">
        <v>0.78125</v>
      </c>
      <c r="E231" s="2">
        <v>0.8125</v>
      </c>
      <c r="F231" s="34">
        <f t="shared" si="47"/>
        <v>1.5</v>
      </c>
      <c r="I231">
        <f t="shared" si="48"/>
        <v>1.5</v>
      </c>
      <c r="J231">
        <f t="shared" si="49"/>
        <v>0</v>
      </c>
      <c r="K231">
        <f t="shared" si="50"/>
        <v>0</v>
      </c>
      <c r="L231">
        <f t="shared" si="51"/>
        <v>0</v>
      </c>
      <c r="M231">
        <f t="shared" si="52"/>
        <v>0</v>
      </c>
      <c r="N231">
        <f t="shared" si="53"/>
        <v>0</v>
      </c>
      <c r="O231">
        <f t="shared" si="54"/>
        <v>0</v>
      </c>
      <c r="P231">
        <f t="shared" si="44"/>
        <v>0</v>
      </c>
      <c r="Q231">
        <f t="shared" si="45"/>
        <v>0</v>
      </c>
      <c r="R231">
        <f t="shared" si="46"/>
        <v>0</v>
      </c>
    </row>
    <row r="232" spans="1:18">
      <c r="A232" s="1">
        <v>39917</v>
      </c>
      <c r="B232" t="s">
        <v>0</v>
      </c>
      <c r="C232">
        <v>2</v>
      </c>
      <c r="D232" s="2">
        <v>0.75</v>
      </c>
      <c r="E232" s="2">
        <v>0.78125</v>
      </c>
      <c r="F232" s="34">
        <f t="shared" si="47"/>
        <v>3</v>
      </c>
      <c r="I232">
        <f t="shared" si="48"/>
        <v>3</v>
      </c>
      <c r="J232">
        <f t="shared" si="49"/>
        <v>0</v>
      </c>
      <c r="K232">
        <f t="shared" si="50"/>
        <v>0</v>
      </c>
      <c r="L232">
        <f t="shared" si="51"/>
        <v>0</v>
      </c>
      <c r="M232">
        <f t="shared" si="52"/>
        <v>0</v>
      </c>
      <c r="N232">
        <f t="shared" si="53"/>
        <v>0</v>
      </c>
      <c r="O232">
        <f t="shared" si="54"/>
        <v>0</v>
      </c>
      <c r="P232">
        <f t="shared" si="44"/>
        <v>0</v>
      </c>
      <c r="Q232">
        <f t="shared" si="45"/>
        <v>0</v>
      </c>
      <c r="R232">
        <f t="shared" si="46"/>
        <v>0</v>
      </c>
    </row>
    <row r="233" spans="1:18">
      <c r="A233" s="1">
        <v>39917</v>
      </c>
      <c r="B233" t="s">
        <v>0</v>
      </c>
      <c r="C233">
        <v>5</v>
      </c>
      <c r="D233" s="2">
        <v>0.78125</v>
      </c>
      <c r="E233" s="2">
        <v>0.8125</v>
      </c>
      <c r="F233" s="34">
        <f t="shared" si="47"/>
        <v>7.5</v>
      </c>
      <c r="I233">
        <f t="shared" si="48"/>
        <v>7.5</v>
      </c>
      <c r="J233">
        <f t="shared" si="49"/>
        <v>0</v>
      </c>
      <c r="K233">
        <f t="shared" si="50"/>
        <v>0</v>
      </c>
      <c r="L233">
        <f t="shared" si="51"/>
        <v>0</v>
      </c>
      <c r="M233">
        <f t="shared" si="52"/>
        <v>0</v>
      </c>
      <c r="N233">
        <f t="shared" si="53"/>
        <v>0</v>
      </c>
      <c r="O233">
        <f t="shared" si="54"/>
        <v>0</v>
      </c>
      <c r="P233">
        <f t="shared" si="44"/>
        <v>0</v>
      </c>
      <c r="Q233">
        <f t="shared" si="45"/>
        <v>0</v>
      </c>
      <c r="R233">
        <f t="shared" si="46"/>
        <v>0</v>
      </c>
    </row>
    <row r="234" spans="1:18">
      <c r="A234" s="1">
        <v>39919</v>
      </c>
      <c r="B234" t="s">
        <v>567</v>
      </c>
      <c r="C234">
        <v>4</v>
      </c>
      <c r="D234" s="2">
        <v>0.79166666666666663</v>
      </c>
      <c r="E234" s="2">
        <v>0.83333333333333337</v>
      </c>
      <c r="F234" s="34">
        <f t="shared" si="47"/>
        <v>8.0000000000000142</v>
      </c>
      <c r="I234">
        <f t="shared" si="48"/>
        <v>0</v>
      </c>
      <c r="J234">
        <f t="shared" si="49"/>
        <v>0</v>
      </c>
      <c r="K234">
        <f t="shared" si="50"/>
        <v>0</v>
      </c>
      <c r="L234">
        <f t="shared" si="51"/>
        <v>0</v>
      </c>
      <c r="M234">
        <f t="shared" si="52"/>
        <v>0</v>
      </c>
      <c r="N234">
        <f t="shared" si="53"/>
        <v>0</v>
      </c>
      <c r="O234">
        <f t="shared" si="54"/>
        <v>0</v>
      </c>
      <c r="P234">
        <f t="shared" si="44"/>
        <v>8.0000000000000142</v>
      </c>
      <c r="Q234">
        <f t="shared" si="45"/>
        <v>0</v>
      </c>
      <c r="R234">
        <f t="shared" si="46"/>
        <v>0</v>
      </c>
    </row>
    <row r="235" spans="1:18">
      <c r="A235" s="1">
        <v>39923</v>
      </c>
      <c r="B235" t="s">
        <v>7</v>
      </c>
      <c r="C235">
        <v>2</v>
      </c>
      <c r="D235" s="2">
        <v>0.75</v>
      </c>
      <c r="E235" s="2">
        <v>0.83333333333333337</v>
      </c>
      <c r="F235" s="34">
        <f t="shared" si="47"/>
        <v>8.0000000000000036</v>
      </c>
      <c r="I235">
        <f t="shared" si="48"/>
        <v>0</v>
      </c>
      <c r="J235">
        <f t="shared" si="49"/>
        <v>8.0000000000000036</v>
      </c>
      <c r="K235">
        <f t="shared" si="50"/>
        <v>0</v>
      </c>
      <c r="L235">
        <f t="shared" si="51"/>
        <v>0</v>
      </c>
      <c r="M235">
        <f t="shared" si="52"/>
        <v>0</v>
      </c>
      <c r="N235">
        <f t="shared" si="53"/>
        <v>0</v>
      </c>
      <c r="O235">
        <f t="shared" si="54"/>
        <v>0</v>
      </c>
      <c r="P235">
        <f t="shared" si="44"/>
        <v>0</v>
      </c>
      <c r="Q235">
        <f t="shared" si="45"/>
        <v>0</v>
      </c>
      <c r="R235">
        <f t="shared" si="46"/>
        <v>0</v>
      </c>
    </row>
    <row r="236" spans="1:18">
      <c r="A236" s="1">
        <v>39923</v>
      </c>
      <c r="B236" t="s">
        <v>0</v>
      </c>
      <c r="C236">
        <v>6</v>
      </c>
      <c r="D236" s="2">
        <v>0.78125</v>
      </c>
      <c r="E236" s="2">
        <v>0.8125</v>
      </c>
      <c r="F236" s="34">
        <f t="shared" si="47"/>
        <v>9</v>
      </c>
      <c r="I236">
        <f t="shared" si="48"/>
        <v>9</v>
      </c>
      <c r="J236">
        <f t="shared" si="49"/>
        <v>0</v>
      </c>
      <c r="K236">
        <f t="shared" si="50"/>
        <v>0</v>
      </c>
      <c r="L236">
        <f t="shared" si="51"/>
        <v>0</v>
      </c>
      <c r="M236">
        <f t="shared" si="52"/>
        <v>0</v>
      </c>
      <c r="N236">
        <f t="shared" si="53"/>
        <v>0</v>
      </c>
      <c r="O236">
        <f t="shared" si="54"/>
        <v>0</v>
      </c>
      <c r="P236">
        <f t="shared" si="44"/>
        <v>0</v>
      </c>
      <c r="Q236">
        <f t="shared" si="45"/>
        <v>0</v>
      </c>
      <c r="R236">
        <f t="shared" si="46"/>
        <v>0</v>
      </c>
    </row>
    <row r="237" spans="1:18">
      <c r="A237" s="1">
        <v>39924</v>
      </c>
      <c r="B237" t="s">
        <v>0</v>
      </c>
      <c r="C237">
        <v>1</v>
      </c>
      <c r="D237" s="2">
        <v>0.75</v>
      </c>
      <c r="E237" s="2">
        <v>0.78125</v>
      </c>
      <c r="F237" s="34">
        <f t="shared" si="47"/>
        <v>1.5</v>
      </c>
      <c r="I237">
        <f t="shared" si="48"/>
        <v>1.5</v>
      </c>
      <c r="J237">
        <f t="shared" si="49"/>
        <v>0</v>
      </c>
      <c r="K237">
        <f t="shared" si="50"/>
        <v>0</v>
      </c>
      <c r="L237">
        <f t="shared" si="51"/>
        <v>0</v>
      </c>
      <c r="M237">
        <f t="shared" si="52"/>
        <v>0</v>
      </c>
      <c r="N237">
        <f t="shared" si="53"/>
        <v>0</v>
      </c>
      <c r="O237">
        <f t="shared" si="54"/>
        <v>0</v>
      </c>
      <c r="P237">
        <f t="shared" si="44"/>
        <v>0</v>
      </c>
      <c r="Q237">
        <f t="shared" si="45"/>
        <v>0</v>
      </c>
      <c r="R237">
        <f t="shared" si="46"/>
        <v>0</v>
      </c>
    </row>
    <row r="238" spans="1:18">
      <c r="A238" s="1">
        <v>39924</v>
      </c>
      <c r="B238" t="s">
        <v>0</v>
      </c>
      <c r="C238">
        <v>4</v>
      </c>
      <c r="D238" s="2">
        <v>0.78125</v>
      </c>
      <c r="E238" s="2">
        <v>0.8125</v>
      </c>
      <c r="F238" s="34">
        <f t="shared" si="47"/>
        <v>6</v>
      </c>
      <c r="I238">
        <f t="shared" si="48"/>
        <v>6</v>
      </c>
      <c r="J238">
        <f t="shared" si="49"/>
        <v>0</v>
      </c>
      <c r="K238">
        <f t="shared" si="50"/>
        <v>0</v>
      </c>
      <c r="L238">
        <f t="shared" si="51"/>
        <v>0</v>
      </c>
      <c r="M238">
        <f t="shared" si="52"/>
        <v>0</v>
      </c>
      <c r="N238">
        <f t="shared" si="53"/>
        <v>0</v>
      </c>
      <c r="O238">
        <f t="shared" si="54"/>
        <v>0</v>
      </c>
      <c r="P238">
        <f t="shared" si="44"/>
        <v>0</v>
      </c>
      <c r="Q238">
        <f t="shared" si="45"/>
        <v>0</v>
      </c>
      <c r="R238">
        <f t="shared" si="46"/>
        <v>0</v>
      </c>
    </row>
    <row r="239" spans="1:18">
      <c r="A239" s="1">
        <v>39924</v>
      </c>
      <c r="B239" t="s">
        <v>0</v>
      </c>
      <c r="C239">
        <v>3</v>
      </c>
      <c r="D239" s="2">
        <v>0.83333333333333337</v>
      </c>
      <c r="E239" s="2">
        <v>0.86458333333333337</v>
      </c>
      <c r="F239" s="34">
        <f t="shared" si="47"/>
        <v>4.5</v>
      </c>
      <c r="I239">
        <f t="shared" si="48"/>
        <v>4.5</v>
      </c>
      <c r="J239">
        <f t="shared" si="49"/>
        <v>0</v>
      </c>
      <c r="K239">
        <f t="shared" si="50"/>
        <v>0</v>
      </c>
      <c r="L239">
        <f t="shared" si="51"/>
        <v>0</v>
      </c>
      <c r="M239">
        <f t="shared" si="52"/>
        <v>0</v>
      </c>
      <c r="N239">
        <f t="shared" si="53"/>
        <v>0</v>
      </c>
      <c r="O239">
        <f t="shared" si="54"/>
        <v>0</v>
      </c>
      <c r="P239">
        <f t="shared" si="44"/>
        <v>0</v>
      </c>
      <c r="Q239">
        <f t="shared" si="45"/>
        <v>0</v>
      </c>
      <c r="R239">
        <f t="shared" si="46"/>
        <v>0</v>
      </c>
    </row>
    <row r="240" spans="1:18">
      <c r="A240" s="1">
        <v>39926</v>
      </c>
      <c r="B240" t="s">
        <v>7</v>
      </c>
      <c r="C240">
        <v>6</v>
      </c>
      <c r="D240" s="2">
        <v>0.75</v>
      </c>
      <c r="E240" s="2">
        <v>0.79166666666666663</v>
      </c>
      <c r="F240" s="34">
        <f t="shared" si="47"/>
        <v>11.999999999999989</v>
      </c>
      <c r="I240">
        <f t="shared" si="48"/>
        <v>0</v>
      </c>
      <c r="J240">
        <f t="shared" si="49"/>
        <v>11.999999999999989</v>
      </c>
      <c r="K240">
        <f t="shared" si="50"/>
        <v>0</v>
      </c>
      <c r="L240">
        <f t="shared" si="51"/>
        <v>0</v>
      </c>
      <c r="M240">
        <f t="shared" si="52"/>
        <v>0</v>
      </c>
      <c r="N240">
        <f t="shared" si="53"/>
        <v>0</v>
      </c>
      <c r="O240">
        <f t="shared" si="54"/>
        <v>0</v>
      </c>
      <c r="P240">
        <f t="shared" si="44"/>
        <v>0</v>
      </c>
      <c r="Q240">
        <f t="shared" si="45"/>
        <v>0</v>
      </c>
      <c r="R240">
        <f t="shared" si="46"/>
        <v>0</v>
      </c>
    </row>
    <row r="241" spans="1:18">
      <c r="A241" s="1">
        <v>39926</v>
      </c>
      <c r="B241" t="s">
        <v>567</v>
      </c>
      <c r="C241">
        <v>4</v>
      </c>
      <c r="D241" s="2">
        <v>0.79166666666666663</v>
      </c>
      <c r="E241" s="2">
        <v>0.83333333333333337</v>
      </c>
      <c r="F241" s="34">
        <f t="shared" si="47"/>
        <v>8.0000000000000142</v>
      </c>
      <c r="I241">
        <f t="shared" si="48"/>
        <v>0</v>
      </c>
      <c r="J241">
        <f t="shared" si="49"/>
        <v>0</v>
      </c>
      <c r="K241">
        <f t="shared" si="50"/>
        <v>0</v>
      </c>
      <c r="L241">
        <f t="shared" si="51"/>
        <v>0</v>
      </c>
      <c r="M241">
        <f t="shared" si="52"/>
        <v>0</v>
      </c>
      <c r="N241">
        <f t="shared" si="53"/>
        <v>0</v>
      </c>
      <c r="O241">
        <f t="shared" si="54"/>
        <v>0</v>
      </c>
      <c r="P241">
        <f t="shared" si="44"/>
        <v>8.0000000000000142</v>
      </c>
      <c r="Q241">
        <f t="shared" si="45"/>
        <v>0</v>
      </c>
      <c r="R241">
        <f t="shared" si="46"/>
        <v>0</v>
      </c>
    </row>
    <row r="242" spans="1:18">
      <c r="A242" s="1">
        <v>39926</v>
      </c>
      <c r="B242" t="s">
        <v>567</v>
      </c>
      <c r="C242">
        <v>1</v>
      </c>
      <c r="D242" s="2">
        <v>0.79166666666666663</v>
      </c>
      <c r="E242" s="2">
        <v>0.8125</v>
      </c>
      <c r="F242" s="34">
        <f t="shared" si="47"/>
        <v>1.0000000000000018</v>
      </c>
      <c r="I242">
        <f t="shared" si="48"/>
        <v>0</v>
      </c>
      <c r="J242">
        <f t="shared" si="49"/>
        <v>0</v>
      </c>
      <c r="K242">
        <f t="shared" si="50"/>
        <v>0</v>
      </c>
      <c r="L242">
        <f t="shared" si="51"/>
        <v>0</v>
      </c>
      <c r="M242">
        <f t="shared" si="52"/>
        <v>0</v>
      </c>
      <c r="N242">
        <f t="shared" si="53"/>
        <v>0</v>
      </c>
      <c r="O242">
        <f t="shared" si="54"/>
        <v>0</v>
      </c>
      <c r="P242">
        <f t="shared" si="44"/>
        <v>1.0000000000000018</v>
      </c>
      <c r="Q242">
        <f t="shared" si="45"/>
        <v>0</v>
      </c>
      <c r="R242">
        <f t="shared" si="46"/>
        <v>0</v>
      </c>
    </row>
    <row r="243" spans="1:18">
      <c r="A243" s="1">
        <v>39930</v>
      </c>
      <c r="B243" t="s">
        <v>0</v>
      </c>
      <c r="C243">
        <v>2</v>
      </c>
      <c r="D243" s="2">
        <v>0.75</v>
      </c>
      <c r="E243" s="2">
        <v>0.78125</v>
      </c>
      <c r="F243" s="34">
        <f t="shared" si="47"/>
        <v>3</v>
      </c>
      <c r="I243">
        <f t="shared" si="48"/>
        <v>3</v>
      </c>
      <c r="J243">
        <f t="shared" si="49"/>
        <v>0</v>
      </c>
      <c r="K243">
        <f t="shared" si="50"/>
        <v>0</v>
      </c>
      <c r="L243">
        <f t="shared" si="51"/>
        <v>0</v>
      </c>
      <c r="M243">
        <f t="shared" si="52"/>
        <v>0</v>
      </c>
      <c r="N243">
        <f t="shared" si="53"/>
        <v>0</v>
      </c>
      <c r="O243">
        <f t="shared" si="54"/>
        <v>0</v>
      </c>
      <c r="P243">
        <f t="shared" si="44"/>
        <v>0</v>
      </c>
      <c r="Q243">
        <f t="shared" si="45"/>
        <v>0</v>
      </c>
      <c r="R243">
        <f t="shared" si="46"/>
        <v>0</v>
      </c>
    </row>
    <row r="244" spans="1:18">
      <c r="A244" s="1">
        <v>39930</v>
      </c>
      <c r="B244" t="s">
        <v>0</v>
      </c>
      <c r="C244">
        <v>3</v>
      </c>
      <c r="D244" s="2">
        <v>0.78125</v>
      </c>
      <c r="E244" s="2">
        <v>0.8125</v>
      </c>
      <c r="F244" s="34">
        <f t="shared" si="47"/>
        <v>4.5</v>
      </c>
      <c r="I244">
        <f t="shared" si="48"/>
        <v>4.5</v>
      </c>
      <c r="J244">
        <f t="shared" si="49"/>
        <v>0</v>
      </c>
      <c r="K244">
        <f t="shared" si="50"/>
        <v>0</v>
      </c>
      <c r="L244">
        <f t="shared" si="51"/>
        <v>0</v>
      </c>
      <c r="M244">
        <f t="shared" si="52"/>
        <v>0</v>
      </c>
      <c r="N244">
        <f t="shared" si="53"/>
        <v>0</v>
      </c>
      <c r="O244">
        <f t="shared" si="54"/>
        <v>0</v>
      </c>
      <c r="P244">
        <f t="shared" si="44"/>
        <v>0</v>
      </c>
      <c r="Q244">
        <f t="shared" si="45"/>
        <v>0</v>
      </c>
      <c r="R244">
        <f t="shared" si="46"/>
        <v>0</v>
      </c>
    </row>
    <row r="245" spans="1:18">
      <c r="A245" s="1">
        <v>39931</v>
      </c>
      <c r="B245" t="s">
        <v>0</v>
      </c>
      <c r="C245">
        <v>4</v>
      </c>
      <c r="D245" s="2">
        <v>0.75</v>
      </c>
      <c r="E245" s="2">
        <v>0.78125</v>
      </c>
      <c r="F245" s="34">
        <f t="shared" si="47"/>
        <v>6</v>
      </c>
      <c r="I245">
        <f t="shared" si="48"/>
        <v>6</v>
      </c>
      <c r="J245">
        <f t="shared" si="49"/>
        <v>0</v>
      </c>
      <c r="K245">
        <f t="shared" si="50"/>
        <v>0</v>
      </c>
      <c r="L245">
        <f t="shared" si="51"/>
        <v>0</v>
      </c>
      <c r="M245">
        <f t="shared" si="52"/>
        <v>0</v>
      </c>
      <c r="N245">
        <f t="shared" si="53"/>
        <v>0</v>
      </c>
      <c r="O245">
        <f t="shared" si="54"/>
        <v>0</v>
      </c>
      <c r="P245">
        <f t="shared" si="44"/>
        <v>0</v>
      </c>
      <c r="Q245">
        <f t="shared" si="45"/>
        <v>0</v>
      </c>
      <c r="R245">
        <f t="shared" si="46"/>
        <v>0</v>
      </c>
    </row>
    <row r="246" spans="1:18">
      <c r="A246" s="1">
        <v>39931</v>
      </c>
      <c r="B246" t="s">
        <v>0</v>
      </c>
      <c r="C246">
        <v>2</v>
      </c>
      <c r="D246" s="2">
        <v>0.78125</v>
      </c>
      <c r="E246" s="2">
        <v>0.8125</v>
      </c>
      <c r="F246" s="34">
        <f t="shared" si="47"/>
        <v>3</v>
      </c>
      <c r="I246">
        <f t="shared" si="48"/>
        <v>3</v>
      </c>
      <c r="J246">
        <f t="shared" si="49"/>
        <v>0</v>
      </c>
      <c r="K246">
        <f t="shared" si="50"/>
        <v>0</v>
      </c>
      <c r="L246">
        <f t="shared" si="51"/>
        <v>0</v>
      </c>
      <c r="M246">
        <f t="shared" si="52"/>
        <v>0</v>
      </c>
      <c r="N246">
        <f t="shared" si="53"/>
        <v>0</v>
      </c>
      <c r="O246">
        <f t="shared" si="54"/>
        <v>0</v>
      </c>
      <c r="P246">
        <f t="shared" si="44"/>
        <v>0</v>
      </c>
      <c r="Q246">
        <f t="shared" si="45"/>
        <v>0</v>
      </c>
      <c r="R246">
        <f t="shared" si="46"/>
        <v>0</v>
      </c>
    </row>
    <row r="247" spans="1:18">
      <c r="A247" s="1">
        <v>39931</v>
      </c>
      <c r="B247" t="s">
        <v>0</v>
      </c>
      <c r="C247">
        <v>2</v>
      </c>
      <c r="D247" s="2">
        <v>0.83333333333333337</v>
      </c>
      <c r="E247" s="2">
        <v>0.86458333333333337</v>
      </c>
      <c r="F247" s="34">
        <f t="shared" si="47"/>
        <v>3</v>
      </c>
      <c r="I247">
        <f t="shared" si="48"/>
        <v>3</v>
      </c>
      <c r="J247">
        <f t="shared" si="49"/>
        <v>0</v>
      </c>
      <c r="K247">
        <f t="shared" si="50"/>
        <v>0</v>
      </c>
      <c r="L247">
        <f t="shared" si="51"/>
        <v>0</v>
      </c>
      <c r="M247">
        <f t="shared" si="52"/>
        <v>0</v>
      </c>
      <c r="N247">
        <f t="shared" si="53"/>
        <v>0</v>
      </c>
      <c r="O247">
        <f t="shared" si="54"/>
        <v>0</v>
      </c>
      <c r="P247">
        <f t="shared" si="44"/>
        <v>0</v>
      </c>
      <c r="Q247">
        <f t="shared" si="45"/>
        <v>0</v>
      </c>
      <c r="R247">
        <f t="shared" si="46"/>
        <v>0</v>
      </c>
    </row>
    <row r="248" spans="1:18">
      <c r="A248" s="1">
        <v>39933</v>
      </c>
      <c r="B248" t="s">
        <v>7</v>
      </c>
      <c r="C248">
        <v>4</v>
      </c>
      <c r="D248" s="2">
        <v>0.75</v>
      </c>
      <c r="E248" s="2">
        <v>0.79166666666666663</v>
      </c>
      <c r="F248" s="34">
        <f t="shared" si="47"/>
        <v>7.9999999999999929</v>
      </c>
      <c r="I248">
        <f t="shared" si="48"/>
        <v>0</v>
      </c>
      <c r="J248">
        <f t="shared" si="49"/>
        <v>7.9999999999999929</v>
      </c>
      <c r="K248">
        <f t="shared" si="50"/>
        <v>0</v>
      </c>
      <c r="L248">
        <f t="shared" si="51"/>
        <v>0</v>
      </c>
      <c r="M248">
        <f t="shared" si="52"/>
        <v>0</v>
      </c>
      <c r="N248">
        <f t="shared" si="53"/>
        <v>0</v>
      </c>
      <c r="O248">
        <f t="shared" si="54"/>
        <v>0</v>
      </c>
      <c r="P248">
        <f t="shared" si="44"/>
        <v>0</v>
      </c>
      <c r="Q248">
        <f t="shared" si="45"/>
        <v>0</v>
      </c>
      <c r="R248">
        <f t="shared" si="46"/>
        <v>0</v>
      </c>
    </row>
    <row r="249" spans="1:18">
      <c r="A249" s="1">
        <v>39933</v>
      </c>
      <c r="B249" t="s">
        <v>567</v>
      </c>
      <c r="C249">
        <v>8</v>
      </c>
      <c r="D249" s="2">
        <v>0.79166666666666663</v>
      </c>
      <c r="E249" s="2">
        <v>0.83333333333333337</v>
      </c>
      <c r="F249" s="34">
        <f t="shared" si="47"/>
        <v>16.000000000000028</v>
      </c>
      <c r="I249">
        <f t="shared" si="48"/>
        <v>0</v>
      </c>
      <c r="J249">
        <f t="shared" si="49"/>
        <v>0</v>
      </c>
      <c r="K249">
        <f t="shared" si="50"/>
        <v>0</v>
      </c>
      <c r="L249">
        <f t="shared" si="51"/>
        <v>0</v>
      </c>
      <c r="M249">
        <f t="shared" si="52"/>
        <v>0</v>
      </c>
      <c r="N249">
        <f t="shared" si="53"/>
        <v>0</v>
      </c>
      <c r="O249">
        <f t="shared" si="54"/>
        <v>0</v>
      </c>
      <c r="P249">
        <f t="shared" si="44"/>
        <v>16.000000000000028</v>
      </c>
      <c r="Q249">
        <f t="shared" si="45"/>
        <v>0</v>
      </c>
      <c r="R249">
        <f t="shared" si="46"/>
        <v>0</v>
      </c>
    </row>
    <row r="250" spans="1:18">
      <c r="A250" s="1">
        <v>39937</v>
      </c>
      <c r="B250" t="s">
        <v>7</v>
      </c>
      <c r="C250">
        <v>1</v>
      </c>
      <c r="D250" s="2">
        <v>0.41666666666666669</v>
      </c>
      <c r="E250" s="2">
        <v>0.45833333333333331</v>
      </c>
      <c r="F250" s="34">
        <f t="shared" si="47"/>
        <v>1.9999999999999982</v>
      </c>
      <c r="I250">
        <f t="shared" si="48"/>
        <v>0</v>
      </c>
      <c r="J250">
        <f t="shared" si="49"/>
        <v>1.9999999999999982</v>
      </c>
      <c r="K250">
        <f t="shared" si="50"/>
        <v>0</v>
      </c>
      <c r="L250">
        <f t="shared" si="51"/>
        <v>0</v>
      </c>
      <c r="M250">
        <f t="shared" si="52"/>
        <v>0</v>
      </c>
      <c r="N250">
        <f t="shared" si="53"/>
        <v>0</v>
      </c>
      <c r="O250">
        <f t="shared" si="54"/>
        <v>0</v>
      </c>
      <c r="P250">
        <f t="shared" si="44"/>
        <v>0</v>
      </c>
      <c r="Q250">
        <f t="shared" si="45"/>
        <v>0</v>
      </c>
      <c r="R250">
        <f t="shared" si="46"/>
        <v>0</v>
      </c>
    </row>
    <row r="251" spans="1:18">
      <c r="A251" s="1">
        <v>39938</v>
      </c>
      <c r="B251" t="s">
        <v>0</v>
      </c>
      <c r="C251">
        <v>4</v>
      </c>
      <c r="D251" s="2">
        <v>0.75</v>
      </c>
      <c r="E251" s="2">
        <v>0.78125</v>
      </c>
      <c r="F251" s="34">
        <f t="shared" si="47"/>
        <v>6</v>
      </c>
      <c r="I251">
        <f t="shared" si="48"/>
        <v>6</v>
      </c>
      <c r="J251">
        <f t="shared" si="49"/>
        <v>0</v>
      </c>
      <c r="K251">
        <f t="shared" si="50"/>
        <v>0</v>
      </c>
      <c r="L251">
        <f t="shared" si="51"/>
        <v>0</v>
      </c>
      <c r="M251">
        <f t="shared" si="52"/>
        <v>0</v>
      </c>
      <c r="N251">
        <f t="shared" si="53"/>
        <v>0</v>
      </c>
      <c r="O251">
        <f t="shared" si="54"/>
        <v>0</v>
      </c>
      <c r="P251">
        <f t="shared" si="44"/>
        <v>0</v>
      </c>
      <c r="Q251">
        <f t="shared" si="45"/>
        <v>0</v>
      </c>
      <c r="R251">
        <f t="shared" si="46"/>
        <v>0</v>
      </c>
    </row>
    <row r="252" spans="1:18">
      <c r="A252" s="1">
        <v>39938</v>
      </c>
      <c r="B252" t="s">
        <v>0</v>
      </c>
      <c r="C252">
        <v>3</v>
      </c>
      <c r="D252" s="2">
        <v>0.78125</v>
      </c>
      <c r="E252" s="2">
        <v>0.8125</v>
      </c>
      <c r="F252" s="34">
        <f t="shared" si="47"/>
        <v>4.5</v>
      </c>
      <c r="I252">
        <f t="shared" si="48"/>
        <v>4.5</v>
      </c>
      <c r="J252">
        <f t="shared" si="49"/>
        <v>0</v>
      </c>
      <c r="K252">
        <f t="shared" si="50"/>
        <v>0</v>
      </c>
      <c r="L252">
        <f t="shared" si="51"/>
        <v>0</v>
      </c>
      <c r="M252">
        <f t="shared" si="52"/>
        <v>0</v>
      </c>
      <c r="N252">
        <f t="shared" si="53"/>
        <v>0</v>
      </c>
      <c r="O252">
        <f t="shared" si="54"/>
        <v>0</v>
      </c>
      <c r="P252">
        <f t="shared" si="44"/>
        <v>0</v>
      </c>
      <c r="Q252">
        <f t="shared" si="45"/>
        <v>0</v>
      </c>
      <c r="R252">
        <f t="shared" si="46"/>
        <v>0</v>
      </c>
    </row>
    <row r="253" spans="1:18">
      <c r="A253" s="1">
        <v>39938</v>
      </c>
      <c r="B253" t="s">
        <v>0</v>
      </c>
      <c r="C253">
        <v>3</v>
      </c>
      <c r="D253" s="2">
        <v>0.83333333333333337</v>
      </c>
      <c r="E253" s="2">
        <v>0.86458333333333337</v>
      </c>
      <c r="F253" s="34">
        <f t="shared" si="47"/>
        <v>4.5</v>
      </c>
      <c r="I253">
        <f t="shared" si="48"/>
        <v>4.5</v>
      </c>
      <c r="J253">
        <f t="shared" si="49"/>
        <v>0</v>
      </c>
      <c r="K253">
        <f t="shared" si="50"/>
        <v>0</v>
      </c>
      <c r="L253">
        <f t="shared" si="51"/>
        <v>0</v>
      </c>
      <c r="M253">
        <f t="shared" si="52"/>
        <v>0</v>
      </c>
      <c r="N253">
        <f t="shared" si="53"/>
        <v>0</v>
      </c>
      <c r="O253">
        <f t="shared" si="54"/>
        <v>0</v>
      </c>
      <c r="P253">
        <f t="shared" si="44"/>
        <v>0</v>
      </c>
      <c r="Q253">
        <f t="shared" si="45"/>
        <v>0</v>
      </c>
      <c r="R253">
        <f t="shared" si="46"/>
        <v>0</v>
      </c>
    </row>
    <row r="254" spans="1:18">
      <c r="A254" s="1">
        <v>39940</v>
      </c>
      <c r="B254" t="s">
        <v>7</v>
      </c>
      <c r="C254">
        <v>2</v>
      </c>
      <c r="D254" s="2">
        <v>0.75</v>
      </c>
      <c r="E254" s="2">
        <v>0.79166666666666663</v>
      </c>
      <c r="F254" s="34">
        <f t="shared" si="47"/>
        <v>3.9999999999999964</v>
      </c>
      <c r="I254">
        <f t="shared" si="48"/>
        <v>0</v>
      </c>
      <c r="J254">
        <f t="shared" si="49"/>
        <v>3.9999999999999964</v>
      </c>
      <c r="K254">
        <f t="shared" si="50"/>
        <v>0</v>
      </c>
      <c r="L254">
        <f t="shared" si="51"/>
        <v>0</v>
      </c>
      <c r="M254">
        <f t="shared" si="52"/>
        <v>0</v>
      </c>
      <c r="N254">
        <f t="shared" si="53"/>
        <v>0</v>
      </c>
      <c r="O254">
        <f t="shared" si="54"/>
        <v>0</v>
      </c>
      <c r="P254">
        <f t="shared" si="44"/>
        <v>0</v>
      </c>
      <c r="Q254">
        <f t="shared" si="45"/>
        <v>0</v>
      </c>
      <c r="R254">
        <f t="shared" si="46"/>
        <v>0</v>
      </c>
    </row>
    <row r="255" spans="1:18">
      <c r="A255" s="1">
        <v>39940</v>
      </c>
      <c r="B255" t="s">
        <v>567</v>
      </c>
      <c r="C255">
        <v>9</v>
      </c>
      <c r="D255" s="2">
        <v>0.79166666666666663</v>
      </c>
      <c r="E255" s="2">
        <v>0.8125</v>
      </c>
      <c r="F255" s="34">
        <f t="shared" si="47"/>
        <v>9.000000000000016</v>
      </c>
      <c r="I255">
        <f t="shared" si="48"/>
        <v>0</v>
      </c>
      <c r="J255">
        <f t="shared" si="49"/>
        <v>0</v>
      </c>
      <c r="K255">
        <f t="shared" si="50"/>
        <v>0</v>
      </c>
      <c r="L255">
        <f t="shared" si="51"/>
        <v>0</v>
      </c>
      <c r="M255">
        <f t="shared" si="52"/>
        <v>0</v>
      </c>
      <c r="N255">
        <f t="shared" si="53"/>
        <v>0</v>
      </c>
      <c r="O255">
        <f t="shared" si="54"/>
        <v>0</v>
      </c>
      <c r="P255">
        <f t="shared" si="44"/>
        <v>9.000000000000016</v>
      </c>
      <c r="Q255">
        <f t="shared" si="45"/>
        <v>0</v>
      </c>
      <c r="R255">
        <f t="shared" si="46"/>
        <v>0</v>
      </c>
    </row>
    <row r="256" spans="1:18">
      <c r="A256" s="1">
        <v>39944</v>
      </c>
      <c r="B256" t="s">
        <v>0</v>
      </c>
      <c r="C256">
        <v>7</v>
      </c>
      <c r="D256" s="2">
        <v>0.79166666666666663</v>
      </c>
      <c r="E256" s="2">
        <v>0.8125</v>
      </c>
      <c r="F256" s="34">
        <f t="shared" si="47"/>
        <v>7.0000000000000124</v>
      </c>
      <c r="I256">
        <f t="shared" si="48"/>
        <v>7.0000000000000124</v>
      </c>
      <c r="J256">
        <f t="shared" si="49"/>
        <v>0</v>
      </c>
      <c r="K256">
        <f t="shared" si="50"/>
        <v>0</v>
      </c>
      <c r="L256">
        <f t="shared" si="51"/>
        <v>0</v>
      </c>
      <c r="M256">
        <f t="shared" si="52"/>
        <v>0</v>
      </c>
      <c r="N256">
        <f t="shared" si="53"/>
        <v>0</v>
      </c>
      <c r="O256">
        <f t="shared" si="54"/>
        <v>0</v>
      </c>
      <c r="P256">
        <f t="shared" si="44"/>
        <v>0</v>
      </c>
      <c r="Q256">
        <f t="shared" si="45"/>
        <v>0</v>
      </c>
      <c r="R256">
        <f t="shared" si="46"/>
        <v>0</v>
      </c>
    </row>
    <row r="257" spans="1:18">
      <c r="A257" s="1">
        <v>39945</v>
      </c>
      <c r="B257" t="s">
        <v>0</v>
      </c>
      <c r="C257">
        <v>4</v>
      </c>
      <c r="D257" s="2">
        <v>0.75</v>
      </c>
      <c r="E257" s="2">
        <v>0.8125</v>
      </c>
      <c r="F257" s="34">
        <f t="shared" si="47"/>
        <v>12</v>
      </c>
      <c r="I257">
        <f t="shared" si="48"/>
        <v>12</v>
      </c>
      <c r="J257">
        <f t="shared" si="49"/>
        <v>0</v>
      </c>
      <c r="K257">
        <f t="shared" si="50"/>
        <v>0</v>
      </c>
      <c r="L257">
        <f t="shared" si="51"/>
        <v>0</v>
      </c>
      <c r="M257">
        <f t="shared" si="52"/>
        <v>0</v>
      </c>
      <c r="N257">
        <f t="shared" si="53"/>
        <v>0</v>
      </c>
      <c r="O257">
        <f t="shared" si="54"/>
        <v>0</v>
      </c>
      <c r="P257">
        <f t="shared" si="44"/>
        <v>0</v>
      </c>
      <c r="Q257">
        <f t="shared" si="45"/>
        <v>0</v>
      </c>
      <c r="R257">
        <f t="shared" si="46"/>
        <v>0</v>
      </c>
    </row>
    <row r="258" spans="1:18">
      <c r="A258" s="1">
        <v>39945</v>
      </c>
      <c r="B258" t="s">
        <v>0</v>
      </c>
      <c r="C258">
        <v>7</v>
      </c>
      <c r="D258" s="2">
        <v>0.83333333333333337</v>
      </c>
      <c r="E258" s="2">
        <v>0.86458333333333337</v>
      </c>
      <c r="F258" s="34">
        <f t="shared" si="47"/>
        <v>10.5</v>
      </c>
      <c r="I258">
        <f t="shared" si="48"/>
        <v>10.5</v>
      </c>
      <c r="J258">
        <f t="shared" si="49"/>
        <v>0</v>
      </c>
      <c r="K258">
        <f t="shared" si="50"/>
        <v>0</v>
      </c>
      <c r="L258">
        <f t="shared" si="51"/>
        <v>0</v>
      </c>
      <c r="M258">
        <f t="shared" si="52"/>
        <v>0</v>
      </c>
      <c r="N258">
        <f t="shared" si="53"/>
        <v>0</v>
      </c>
      <c r="O258">
        <f t="shared" si="54"/>
        <v>0</v>
      </c>
      <c r="P258">
        <f t="shared" si="44"/>
        <v>0</v>
      </c>
      <c r="Q258">
        <f t="shared" si="45"/>
        <v>0</v>
      </c>
      <c r="R258">
        <f t="shared" si="46"/>
        <v>0</v>
      </c>
    </row>
    <row r="259" spans="1:18">
      <c r="A259" s="1">
        <v>39946</v>
      </c>
      <c r="B259" t="s">
        <v>569</v>
      </c>
      <c r="C259">
        <v>7</v>
      </c>
      <c r="D259" s="2">
        <v>0.83333333333333337</v>
      </c>
      <c r="E259" s="2">
        <v>0.875</v>
      </c>
      <c r="F259" s="34">
        <f t="shared" si="47"/>
        <v>13.999999999999988</v>
      </c>
      <c r="I259">
        <f t="shared" si="48"/>
        <v>0</v>
      </c>
      <c r="J259">
        <f t="shared" si="49"/>
        <v>0</v>
      </c>
      <c r="K259">
        <f t="shared" si="50"/>
        <v>0</v>
      </c>
      <c r="L259">
        <f t="shared" si="51"/>
        <v>0</v>
      </c>
      <c r="M259">
        <f t="shared" si="52"/>
        <v>0</v>
      </c>
      <c r="N259">
        <f t="shared" si="53"/>
        <v>0</v>
      </c>
      <c r="O259">
        <f t="shared" si="54"/>
        <v>0</v>
      </c>
      <c r="P259">
        <f t="shared" si="44"/>
        <v>0</v>
      </c>
      <c r="Q259">
        <f t="shared" si="45"/>
        <v>0</v>
      </c>
      <c r="R259">
        <f t="shared" si="46"/>
        <v>13.999999999999988</v>
      </c>
    </row>
    <row r="260" spans="1:18">
      <c r="A260" s="1">
        <v>39947</v>
      </c>
      <c r="B260" t="s">
        <v>7</v>
      </c>
      <c r="C260">
        <v>2</v>
      </c>
      <c r="D260" s="2">
        <v>0.75</v>
      </c>
      <c r="E260" s="2">
        <v>0.79166666666666663</v>
      </c>
      <c r="F260" s="34">
        <f t="shared" si="47"/>
        <v>3.9999999999999964</v>
      </c>
      <c r="I260">
        <f t="shared" si="48"/>
        <v>0</v>
      </c>
      <c r="J260">
        <f t="shared" si="49"/>
        <v>3.9999999999999964</v>
      </c>
      <c r="K260">
        <f t="shared" si="50"/>
        <v>0</v>
      </c>
      <c r="L260">
        <f t="shared" si="51"/>
        <v>0</v>
      </c>
      <c r="M260">
        <f t="shared" si="52"/>
        <v>0</v>
      </c>
      <c r="N260">
        <f t="shared" si="53"/>
        <v>0</v>
      </c>
      <c r="O260">
        <f t="shared" si="54"/>
        <v>0</v>
      </c>
      <c r="P260">
        <f t="shared" si="44"/>
        <v>0</v>
      </c>
      <c r="Q260">
        <f t="shared" si="45"/>
        <v>0</v>
      </c>
      <c r="R260">
        <f t="shared" si="46"/>
        <v>0</v>
      </c>
    </row>
    <row r="261" spans="1:18">
      <c r="A261" s="1">
        <v>39947</v>
      </c>
      <c r="B261" t="s">
        <v>567</v>
      </c>
      <c r="C261">
        <v>9</v>
      </c>
      <c r="D261" s="2">
        <v>0.79166666666666663</v>
      </c>
      <c r="E261" s="2">
        <v>0.83333333333333337</v>
      </c>
      <c r="F261" s="34">
        <f t="shared" si="47"/>
        <v>18.000000000000032</v>
      </c>
      <c r="I261">
        <f t="shared" si="48"/>
        <v>0</v>
      </c>
      <c r="J261">
        <f t="shared" si="49"/>
        <v>0</v>
      </c>
      <c r="K261">
        <f t="shared" si="50"/>
        <v>0</v>
      </c>
      <c r="L261">
        <f t="shared" si="51"/>
        <v>0</v>
      </c>
      <c r="M261">
        <f t="shared" si="52"/>
        <v>0</v>
      </c>
      <c r="N261">
        <f t="shared" si="53"/>
        <v>0</v>
      </c>
      <c r="O261">
        <f t="shared" si="54"/>
        <v>0</v>
      </c>
      <c r="P261">
        <f t="shared" si="44"/>
        <v>18.000000000000032</v>
      </c>
      <c r="Q261">
        <f t="shared" si="45"/>
        <v>0</v>
      </c>
      <c r="R261">
        <f t="shared" si="46"/>
        <v>0</v>
      </c>
    </row>
    <row r="262" spans="1:18">
      <c r="A262" s="1">
        <v>39951</v>
      </c>
      <c r="B262" t="s">
        <v>0</v>
      </c>
      <c r="C262">
        <v>3</v>
      </c>
      <c r="D262" s="2">
        <v>0.75</v>
      </c>
      <c r="E262" s="2">
        <v>0.78125</v>
      </c>
      <c r="F262" s="34">
        <f t="shared" si="47"/>
        <v>4.5</v>
      </c>
      <c r="I262">
        <f t="shared" si="48"/>
        <v>4.5</v>
      </c>
      <c r="J262">
        <f t="shared" si="49"/>
        <v>0</v>
      </c>
      <c r="K262">
        <f t="shared" si="50"/>
        <v>0</v>
      </c>
      <c r="L262">
        <f t="shared" si="51"/>
        <v>0</v>
      </c>
      <c r="M262">
        <f t="shared" si="52"/>
        <v>0</v>
      </c>
      <c r="N262">
        <f t="shared" si="53"/>
        <v>0</v>
      </c>
      <c r="O262">
        <f t="shared" si="54"/>
        <v>0</v>
      </c>
      <c r="P262">
        <f t="shared" si="44"/>
        <v>0</v>
      </c>
      <c r="Q262">
        <f t="shared" si="45"/>
        <v>0</v>
      </c>
      <c r="R262">
        <f t="shared" si="46"/>
        <v>0</v>
      </c>
    </row>
    <row r="263" spans="1:18">
      <c r="A263" s="1">
        <v>39951</v>
      </c>
      <c r="B263" t="s">
        <v>0</v>
      </c>
      <c r="C263">
        <v>1</v>
      </c>
      <c r="D263" s="2">
        <v>0.78125</v>
      </c>
      <c r="E263" s="2">
        <v>0.8125</v>
      </c>
      <c r="F263" s="34">
        <f t="shared" si="47"/>
        <v>1.5</v>
      </c>
      <c r="I263">
        <f t="shared" si="48"/>
        <v>1.5</v>
      </c>
      <c r="J263">
        <f t="shared" si="49"/>
        <v>0</v>
      </c>
      <c r="K263">
        <f t="shared" si="50"/>
        <v>0</v>
      </c>
      <c r="L263">
        <f t="shared" si="51"/>
        <v>0</v>
      </c>
      <c r="M263">
        <f t="shared" si="52"/>
        <v>0</v>
      </c>
      <c r="N263">
        <f t="shared" si="53"/>
        <v>0</v>
      </c>
      <c r="O263">
        <f t="shared" si="54"/>
        <v>0</v>
      </c>
      <c r="P263">
        <f t="shared" si="44"/>
        <v>0</v>
      </c>
      <c r="Q263">
        <f t="shared" si="45"/>
        <v>0</v>
      </c>
      <c r="R263">
        <f t="shared" si="46"/>
        <v>0</v>
      </c>
    </row>
    <row r="264" spans="1:18">
      <c r="A264" s="1">
        <v>39951</v>
      </c>
      <c r="B264" t="s">
        <v>7</v>
      </c>
      <c r="C264">
        <v>3</v>
      </c>
      <c r="D264" s="2">
        <v>0.77083333333333337</v>
      </c>
      <c r="E264" s="2">
        <v>0.8125</v>
      </c>
      <c r="F264" s="34">
        <f t="shared" si="47"/>
        <v>5.9999999999999947</v>
      </c>
      <c r="I264">
        <f t="shared" si="48"/>
        <v>0</v>
      </c>
      <c r="J264">
        <f t="shared" si="49"/>
        <v>5.9999999999999947</v>
      </c>
      <c r="K264">
        <f t="shared" si="50"/>
        <v>0</v>
      </c>
      <c r="L264">
        <f t="shared" si="51"/>
        <v>0</v>
      </c>
      <c r="M264">
        <f t="shared" si="52"/>
        <v>0</v>
      </c>
      <c r="N264">
        <f t="shared" si="53"/>
        <v>0</v>
      </c>
      <c r="O264">
        <f t="shared" si="54"/>
        <v>0</v>
      </c>
      <c r="P264">
        <f t="shared" si="44"/>
        <v>0</v>
      </c>
      <c r="Q264">
        <f t="shared" si="45"/>
        <v>0</v>
      </c>
      <c r="R264">
        <f t="shared" si="46"/>
        <v>0</v>
      </c>
    </row>
    <row r="265" spans="1:18">
      <c r="A265" s="1">
        <v>39952</v>
      </c>
      <c r="B265" t="s">
        <v>0</v>
      </c>
      <c r="C265">
        <v>6</v>
      </c>
      <c r="D265" s="2">
        <v>0.77083333333333337</v>
      </c>
      <c r="E265" s="2">
        <v>0.80208333333333337</v>
      </c>
      <c r="F265" s="34">
        <f t="shared" si="47"/>
        <v>9</v>
      </c>
      <c r="I265">
        <f t="shared" si="48"/>
        <v>9</v>
      </c>
      <c r="J265">
        <f t="shared" si="49"/>
        <v>0</v>
      </c>
      <c r="K265">
        <f t="shared" si="50"/>
        <v>0</v>
      </c>
      <c r="L265">
        <f t="shared" si="51"/>
        <v>0</v>
      </c>
      <c r="M265">
        <f t="shared" si="52"/>
        <v>0</v>
      </c>
      <c r="N265">
        <f t="shared" si="53"/>
        <v>0</v>
      </c>
      <c r="O265">
        <f t="shared" si="54"/>
        <v>0</v>
      </c>
      <c r="P265">
        <f t="shared" si="44"/>
        <v>0</v>
      </c>
      <c r="Q265">
        <f t="shared" si="45"/>
        <v>0</v>
      </c>
      <c r="R265">
        <f t="shared" si="46"/>
        <v>0</v>
      </c>
    </row>
    <row r="266" spans="1:18">
      <c r="A266" s="1">
        <v>39952</v>
      </c>
      <c r="B266" t="s">
        <v>0</v>
      </c>
      <c r="C266">
        <v>3</v>
      </c>
      <c r="D266" s="2">
        <v>0.80208333333333337</v>
      </c>
      <c r="E266" s="2">
        <v>0.86458333333333337</v>
      </c>
      <c r="F266" s="34">
        <f t="shared" si="47"/>
        <v>9</v>
      </c>
      <c r="I266">
        <f t="shared" si="48"/>
        <v>9</v>
      </c>
      <c r="J266">
        <f t="shared" si="49"/>
        <v>0</v>
      </c>
      <c r="K266">
        <f t="shared" si="50"/>
        <v>0</v>
      </c>
      <c r="L266">
        <f t="shared" si="51"/>
        <v>0</v>
      </c>
      <c r="M266">
        <f t="shared" si="52"/>
        <v>0</v>
      </c>
      <c r="N266">
        <f t="shared" si="53"/>
        <v>0</v>
      </c>
      <c r="O266">
        <f t="shared" si="54"/>
        <v>0</v>
      </c>
      <c r="P266">
        <f t="shared" si="44"/>
        <v>0</v>
      </c>
      <c r="Q266">
        <f t="shared" si="45"/>
        <v>0</v>
      </c>
      <c r="R266">
        <f t="shared" si="46"/>
        <v>0</v>
      </c>
    </row>
    <row r="267" spans="1:18">
      <c r="A267" s="1">
        <v>39953</v>
      </c>
      <c r="B267" t="s">
        <v>7</v>
      </c>
      <c r="C267">
        <v>8</v>
      </c>
      <c r="D267" s="2">
        <v>0.79166666666666663</v>
      </c>
      <c r="E267" s="2">
        <v>0.83333333333333337</v>
      </c>
      <c r="F267" s="34">
        <f t="shared" si="47"/>
        <v>16.000000000000028</v>
      </c>
      <c r="I267">
        <f t="shared" si="48"/>
        <v>0</v>
      </c>
      <c r="J267">
        <f t="shared" si="49"/>
        <v>16.000000000000028</v>
      </c>
      <c r="K267">
        <f t="shared" si="50"/>
        <v>0</v>
      </c>
      <c r="L267">
        <f t="shared" si="51"/>
        <v>0</v>
      </c>
      <c r="M267">
        <f t="shared" si="52"/>
        <v>0</v>
      </c>
      <c r="N267">
        <f t="shared" si="53"/>
        <v>0</v>
      </c>
      <c r="O267">
        <f t="shared" si="54"/>
        <v>0</v>
      </c>
      <c r="P267">
        <f t="shared" si="44"/>
        <v>0</v>
      </c>
      <c r="Q267">
        <f t="shared" si="45"/>
        <v>0</v>
      </c>
      <c r="R267">
        <f t="shared" si="46"/>
        <v>0</v>
      </c>
    </row>
    <row r="268" spans="1:18">
      <c r="A268" s="1">
        <v>39954</v>
      </c>
      <c r="B268" t="s">
        <v>7</v>
      </c>
      <c r="C268">
        <v>2</v>
      </c>
      <c r="D268" s="2">
        <v>0.75</v>
      </c>
      <c r="E268" s="2">
        <v>0.79166666666666663</v>
      </c>
      <c r="F268" s="34">
        <f t="shared" si="47"/>
        <v>3.9999999999999964</v>
      </c>
      <c r="I268">
        <f t="shared" si="48"/>
        <v>0</v>
      </c>
      <c r="J268">
        <f t="shared" si="49"/>
        <v>3.9999999999999964</v>
      </c>
      <c r="K268">
        <f t="shared" si="50"/>
        <v>0</v>
      </c>
      <c r="L268">
        <f t="shared" si="51"/>
        <v>0</v>
      </c>
      <c r="M268">
        <f t="shared" si="52"/>
        <v>0</v>
      </c>
      <c r="N268">
        <f t="shared" si="53"/>
        <v>0</v>
      </c>
      <c r="O268">
        <f t="shared" si="54"/>
        <v>0</v>
      </c>
      <c r="P268">
        <f t="shared" si="44"/>
        <v>0</v>
      </c>
      <c r="Q268">
        <f t="shared" si="45"/>
        <v>0</v>
      </c>
      <c r="R268">
        <f t="shared" si="46"/>
        <v>0</v>
      </c>
    </row>
    <row r="269" spans="1:18">
      <c r="A269" s="1">
        <v>39954</v>
      </c>
      <c r="B269" t="s">
        <v>567</v>
      </c>
      <c r="C269">
        <v>9</v>
      </c>
      <c r="D269" s="2">
        <v>0.8125</v>
      </c>
      <c r="E269" s="2">
        <v>0.85416666666666663</v>
      </c>
      <c r="F269" s="34">
        <f t="shared" si="47"/>
        <v>17.999999999999986</v>
      </c>
      <c r="I269">
        <f t="shared" si="48"/>
        <v>0</v>
      </c>
      <c r="J269">
        <f t="shared" si="49"/>
        <v>0</v>
      </c>
      <c r="K269">
        <f t="shared" si="50"/>
        <v>0</v>
      </c>
      <c r="L269">
        <f t="shared" si="51"/>
        <v>0</v>
      </c>
      <c r="M269">
        <f t="shared" si="52"/>
        <v>0</v>
      </c>
      <c r="N269">
        <f t="shared" si="53"/>
        <v>0</v>
      </c>
      <c r="O269">
        <f t="shared" si="54"/>
        <v>0</v>
      </c>
      <c r="P269">
        <f t="shared" ref="P269:P332" si="55">IF(($B269=I$1),($F269),(0))</f>
        <v>17.999999999999986</v>
      </c>
      <c r="Q269">
        <f t="shared" ref="Q269:Q332" si="56">IF(($B269=J$1),($F269),(0))</f>
        <v>0</v>
      </c>
      <c r="R269">
        <f t="shared" ref="R269:R332" si="57">IF(($B269=K$1),($F269),(0))</f>
        <v>0</v>
      </c>
    </row>
    <row r="270" spans="1:18">
      <c r="A270" s="1">
        <v>39954</v>
      </c>
      <c r="B270" t="s">
        <v>0</v>
      </c>
      <c r="C270">
        <v>9</v>
      </c>
      <c r="D270" s="2">
        <v>0.85416666666666663</v>
      </c>
      <c r="E270" s="2">
        <v>0.89583333333333337</v>
      </c>
      <c r="F270" s="34">
        <f t="shared" si="47"/>
        <v>18.000000000000032</v>
      </c>
      <c r="I270">
        <f t="shared" si="48"/>
        <v>18.000000000000032</v>
      </c>
      <c r="J270">
        <f t="shared" si="49"/>
        <v>0</v>
      </c>
      <c r="K270">
        <f t="shared" si="50"/>
        <v>0</v>
      </c>
      <c r="L270">
        <f t="shared" si="51"/>
        <v>0</v>
      </c>
      <c r="M270">
        <f t="shared" si="52"/>
        <v>0</v>
      </c>
      <c r="N270">
        <f t="shared" si="53"/>
        <v>0</v>
      </c>
      <c r="O270">
        <f t="shared" si="54"/>
        <v>0</v>
      </c>
      <c r="P270">
        <f t="shared" si="55"/>
        <v>0</v>
      </c>
      <c r="Q270">
        <f t="shared" si="56"/>
        <v>0</v>
      </c>
      <c r="R270">
        <f t="shared" si="57"/>
        <v>0</v>
      </c>
    </row>
    <row r="271" spans="1:18">
      <c r="A271" s="1">
        <v>39959</v>
      </c>
      <c r="B271" t="s">
        <v>0</v>
      </c>
      <c r="C271">
        <v>4</v>
      </c>
      <c r="D271" s="2">
        <v>0.75</v>
      </c>
      <c r="E271" s="2">
        <v>0.78125</v>
      </c>
      <c r="F271" s="34">
        <f t="shared" si="47"/>
        <v>6</v>
      </c>
      <c r="I271">
        <f t="shared" si="48"/>
        <v>6</v>
      </c>
      <c r="J271">
        <f t="shared" si="49"/>
        <v>0</v>
      </c>
      <c r="K271">
        <f t="shared" si="50"/>
        <v>0</v>
      </c>
      <c r="L271">
        <f t="shared" si="51"/>
        <v>0</v>
      </c>
      <c r="M271">
        <f t="shared" si="52"/>
        <v>0</v>
      </c>
      <c r="N271">
        <f t="shared" si="53"/>
        <v>0</v>
      </c>
      <c r="O271">
        <f t="shared" si="54"/>
        <v>0</v>
      </c>
      <c r="P271">
        <f t="shared" si="55"/>
        <v>0</v>
      </c>
      <c r="Q271">
        <f t="shared" si="56"/>
        <v>0</v>
      </c>
      <c r="R271">
        <f t="shared" si="57"/>
        <v>0</v>
      </c>
    </row>
    <row r="272" spans="1:18">
      <c r="A272" s="1">
        <v>39959</v>
      </c>
      <c r="B272" t="s">
        <v>0</v>
      </c>
      <c r="C272">
        <v>1</v>
      </c>
      <c r="D272" s="2">
        <v>0.78125</v>
      </c>
      <c r="E272" s="2">
        <v>0.8125</v>
      </c>
      <c r="F272" s="34">
        <f t="shared" si="47"/>
        <v>1.5</v>
      </c>
      <c r="I272">
        <f t="shared" si="48"/>
        <v>1.5</v>
      </c>
      <c r="J272">
        <f t="shared" si="49"/>
        <v>0</v>
      </c>
      <c r="K272">
        <f t="shared" si="50"/>
        <v>0</v>
      </c>
      <c r="L272">
        <f t="shared" si="51"/>
        <v>0</v>
      </c>
      <c r="M272">
        <f t="shared" si="52"/>
        <v>0</v>
      </c>
      <c r="N272">
        <f t="shared" si="53"/>
        <v>0</v>
      </c>
      <c r="O272">
        <f t="shared" si="54"/>
        <v>0</v>
      </c>
      <c r="P272">
        <f t="shared" si="55"/>
        <v>0</v>
      </c>
      <c r="Q272">
        <f t="shared" si="56"/>
        <v>0</v>
      </c>
      <c r="R272">
        <f t="shared" si="57"/>
        <v>0</v>
      </c>
    </row>
    <row r="273" spans="1:18">
      <c r="A273" s="1">
        <v>39959</v>
      </c>
      <c r="B273" t="s">
        <v>0</v>
      </c>
      <c r="C273">
        <v>4</v>
      </c>
      <c r="D273" s="2">
        <v>0.83333333333333337</v>
      </c>
      <c r="E273" s="2">
        <v>0.86458333333333337</v>
      </c>
      <c r="F273" s="34">
        <f t="shared" si="47"/>
        <v>6</v>
      </c>
      <c r="I273">
        <f t="shared" si="48"/>
        <v>6</v>
      </c>
      <c r="J273">
        <f t="shared" si="49"/>
        <v>0</v>
      </c>
      <c r="K273">
        <f t="shared" si="50"/>
        <v>0</v>
      </c>
      <c r="L273">
        <f t="shared" si="51"/>
        <v>0</v>
      </c>
      <c r="M273">
        <f t="shared" si="52"/>
        <v>0</v>
      </c>
      <c r="N273">
        <f t="shared" si="53"/>
        <v>0</v>
      </c>
      <c r="O273">
        <f t="shared" si="54"/>
        <v>0</v>
      </c>
      <c r="P273">
        <f t="shared" si="55"/>
        <v>0</v>
      </c>
      <c r="Q273">
        <f t="shared" si="56"/>
        <v>0</v>
      </c>
      <c r="R273">
        <f t="shared" si="57"/>
        <v>0</v>
      </c>
    </row>
    <row r="274" spans="1:18">
      <c r="A274" s="1">
        <v>39961</v>
      </c>
      <c r="B274" t="s">
        <v>7</v>
      </c>
      <c r="C274">
        <v>2</v>
      </c>
      <c r="D274" s="2">
        <v>0.75</v>
      </c>
      <c r="E274" s="2">
        <v>0.79166666666666663</v>
      </c>
      <c r="F274" s="34">
        <f t="shared" si="47"/>
        <v>3.9999999999999964</v>
      </c>
      <c r="I274">
        <f t="shared" si="48"/>
        <v>0</v>
      </c>
      <c r="J274">
        <f t="shared" si="49"/>
        <v>3.9999999999999964</v>
      </c>
      <c r="K274">
        <f t="shared" si="50"/>
        <v>0</v>
      </c>
      <c r="L274">
        <f t="shared" si="51"/>
        <v>0</v>
      </c>
      <c r="M274">
        <f t="shared" si="52"/>
        <v>0</v>
      </c>
      <c r="N274">
        <f t="shared" si="53"/>
        <v>0</v>
      </c>
      <c r="O274">
        <f t="shared" si="54"/>
        <v>0</v>
      </c>
      <c r="P274">
        <f t="shared" si="55"/>
        <v>0</v>
      </c>
      <c r="Q274">
        <f t="shared" si="56"/>
        <v>0</v>
      </c>
      <c r="R274">
        <f t="shared" si="57"/>
        <v>0</v>
      </c>
    </row>
    <row r="275" spans="1:18">
      <c r="A275" s="1">
        <v>39961</v>
      </c>
      <c r="B275" t="s">
        <v>567</v>
      </c>
      <c r="C275">
        <v>8</v>
      </c>
      <c r="D275" s="2">
        <v>0.79166666666666663</v>
      </c>
      <c r="E275" s="2">
        <v>0.82291666666666663</v>
      </c>
      <c r="F275" s="34">
        <f t="shared" si="47"/>
        <v>12</v>
      </c>
      <c r="I275">
        <f t="shared" si="48"/>
        <v>0</v>
      </c>
      <c r="J275">
        <f t="shared" si="49"/>
        <v>0</v>
      </c>
      <c r="K275">
        <f t="shared" si="50"/>
        <v>0</v>
      </c>
      <c r="L275">
        <f t="shared" si="51"/>
        <v>0</v>
      </c>
      <c r="M275">
        <f t="shared" si="52"/>
        <v>0</v>
      </c>
      <c r="N275">
        <f t="shared" si="53"/>
        <v>0</v>
      </c>
      <c r="O275">
        <f t="shared" si="54"/>
        <v>0</v>
      </c>
      <c r="P275">
        <f t="shared" si="55"/>
        <v>12</v>
      </c>
      <c r="Q275">
        <f t="shared" si="56"/>
        <v>0</v>
      </c>
      <c r="R275">
        <f t="shared" si="57"/>
        <v>0</v>
      </c>
    </row>
    <row r="276" spans="1:18">
      <c r="A276" s="1">
        <v>39961</v>
      </c>
      <c r="B276" t="s">
        <v>0</v>
      </c>
      <c r="C276">
        <v>3</v>
      </c>
      <c r="D276" s="2">
        <v>0.83333333333333337</v>
      </c>
      <c r="E276" s="2">
        <v>0.86458333333333337</v>
      </c>
      <c r="F276" s="34">
        <f t="shared" si="47"/>
        <v>4.5</v>
      </c>
      <c r="I276">
        <f t="shared" si="48"/>
        <v>4.5</v>
      </c>
      <c r="J276">
        <f t="shared" si="49"/>
        <v>0</v>
      </c>
      <c r="K276">
        <f t="shared" si="50"/>
        <v>0</v>
      </c>
      <c r="L276">
        <f t="shared" si="51"/>
        <v>0</v>
      </c>
      <c r="M276">
        <f t="shared" si="52"/>
        <v>0</v>
      </c>
      <c r="N276">
        <f t="shared" si="53"/>
        <v>0</v>
      </c>
      <c r="O276">
        <f t="shared" si="54"/>
        <v>0</v>
      </c>
      <c r="P276">
        <f t="shared" si="55"/>
        <v>0</v>
      </c>
      <c r="Q276">
        <f t="shared" si="56"/>
        <v>0</v>
      </c>
      <c r="R276">
        <f t="shared" si="57"/>
        <v>0</v>
      </c>
    </row>
    <row r="277" spans="1:18">
      <c r="A277" s="1">
        <v>39966</v>
      </c>
      <c r="B277" t="s">
        <v>0</v>
      </c>
      <c r="C277">
        <v>4</v>
      </c>
      <c r="D277" s="2">
        <v>0.77083333333333337</v>
      </c>
      <c r="E277" s="2">
        <v>0.78125</v>
      </c>
      <c r="F277" s="34">
        <f t="shared" si="47"/>
        <v>1.9999999999999929</v>
      </c>
      <c r="I277">
        <f t="shared" si="48"/>
        <v>1.9999999999999929</v>
      </c>
      <c r="J277">
        <f t="shared" si="49"/>
        <v>0</v>
      </c>
      <c r="K277">
        <f t="shared" si="50"/>
        <v>0</v>
      </c>
      <c r="L277">
        <f t="shared" si="51"/>
        <v>0</v>
      </c>
      <c r="M277">
        <f t="shared" si="52"/>
        <v>0</v>
      </c>
      <c r="N277">
        <f t="shared" si="53"/>
        <v>0</v>
      </c>
      <c r="O277">
        <f t="shared" si="54"/>
        <v>0</v>
      </c>
      <c r="P277">
        <f t="shared" si="55"/>
        <v>0</v>
      </c>
      <c r="Q277">
        <f t="shared" si="56"/>
        <v>0</v>
      </c>
      <c r="R277">
        <f t="shared" si="57"/>
        <v>0</v>
      </c>
    </row>
    <row r="278" spans="1:18">
      <c r="A278" s="1">
        <v>39966</v>
      </c>
      <c r="B278" t="s">
        <v>0</v>
      </c>
      <c r="C278">
        <v>5</v>
      </c>
      <c r="D278" s="2">
        <v>0.78125</v>
      </c>
      <c r="E278" s="2">
        <v>0.8125</v>
      </c>
      <c r="F278" s="34">
        <f t="shared" si="47"/>
        <v>7.5</v>
      </c>
      <c r="I278">
        <f t="shared" si="48"/>
        <v>7.5</v>
      </c>
      <c r="J278">
        <f t="shared" si="49"/>
        <v>0</v>
      </c>
      <c r="K278">
        <f t="shared" si="50"/>
        <v>0</v>
      </c>
      <c r="L278">
        <f t="shared" si="51"/>
        <v>0</v>
      </c>
      <c r="M278">
        <f t="shared" si="52"/>
        <v>0</v>
      </c>
      <c r="N278">
        <f t="shared" si="53"/>
        <v>0</v>
      </c>
      <c r="O278">
        <f t="shared" si="54"/>
        <v>0</v>
      </c>
      <c r="P278">
        <f t="shared" si="55"/>
        <v>0</v>
      </c>
      <c r="Q278">
        <f t="shared" si="56"/>
        <v>0</v>
      </c>
      <c r="R278">
        <f t="shared" si="57"/>
        <v>0</v>
      </c>
    </row>
    <row r="279" spans="1:18">
      <c r="A279" s="1">
        <v>39966</v>
      </c>
      <c r="B279" t="s">
        <v>0</v>
      </c>
      <c r="C279">
        <v>1</v>
      </c>
      <c r="D279" s="2">
        <v>0.83333333333333337</v>
      </c>
      <c r="E279" s="2">
        <v>0.86458333333333337</v>
      </c>
      <c r="F279" s="34">
        <f t="shared" si="47"/>
        <v>1.5</v>
      </c>
      <c r="I279">
        <f t="shared" si="48"/>
        <v>1.5</v>
      </c>
      <c r="J279">
        <f t="shared" si="49"/>
        <v>0</v>
      </c>
      <c r="K279">
        <f t="shared" si="50"/>
        <v>0</v>
      </c>
      <c r="L279">
        <f t="shared" si="51"/>
        <v>0</v>
      </c>
      <c r="M279">
        <f t="shared" si="52"/>
        <v>0</v>
      </c>
      <c r="N279">
        <f t="shared" si="53"/>
        <v>0</v>
      </c>
      <c r="O279">
        <f t="shared" si="54"/>
        <v>0</v>
      </c>
      <c r="P279">
        <f t="shared" si="55"/>
        <v>0</v>
      </c>
      <c r="Q279">
        <f t="shared" si="56"/>
        <v>0</v>
      </c>
      <c r="R279">
        <f t="shared" si="57"/>
        <v>0</v>
      </c>
    </row>
    <row r="280" spans="1:18">
      <c r="A280" s="1">
        <v>39966</v>
      </c>
      <c r="B280" t="s">
        <v>567</v>
      </c>
      <c r="C280">
        <v>3</v>
      </c>
      <c r="D280" s="2">
        <v>0.77083333333333337</v>
      </c>
      <c r="E280" s="2">
        <v>0.8125</v>
      </c>
      <c r="F280" s="34">
        <f t="shared" si="47"/>
        <v>5.9999999999999947</v>
      </c>
      <c r="I280">
        <f t="shared" si="48"/>
        <v>0</v>
      </c>
      <c r="J280">
        <f t="shared" si="49"/>
        <v>0</v>
      </c>
      <c r="K280">
        <f t="shared" si="50"/>
        <v>0</v>
      </c>
      <c r="L280">
        <f t="shared" si="51"/>
        <v>0</v>
      </c>
      <c r="M280">
        <f t="shared" si="52"/>
        <v>0</v>
      </c>
      <c r="N280">
        <f t="shared" si="53"/>
        <v>0</v>
      </c>
      <c r="O280">
        <f t="shared" si="54"/>
        <v>0</v>
      </c>
      <c r="P280">
        <f t="shared" si="55"/>
        <v>5.9999999999999947</v>
      </c>
      <c r="Q280">
        <f t="shared" si="56"/>
        <v>0</v>
      </c>
      <c r="R280">
        <f t="shared" si="57"/>
        <v>0</v>
      </c>
    </row>
    <row r="281" spans="1:18">
      <c r="A281" s="1">
        <v>39968</v>
      </c>
      <c r="B281" t="s">
        <v>7</v>
      </c>
      <c r="C281">
        <v>2</v>
      </c>
      <c r="D281" s="2">
        <v>0.75</v>
      </c>
      <c r="E281" s="2">
        <v>0.79166666666666663</v>
      </c>
      <c r="F281" s="34">
        <f t="shared" si="47"/>
        <v>3.9999999999999964</v>
      </c>
      <c r="I281">
        <f t="shared" si="48"/>
        <v>0</v>
      </c>
      <c r="J281">
        <f t="shared" si="49"/>
        <v>3.9999999999999964</v>
      </c>
      <c r="K281">
        <f t="shared" si="50"/>
        <v>0</v>
      </c>
      <c r="L281">
        <f t="shared" si="51"/>
        <v>0</v>
      </c>
      <c r="M281">
        <f t="shared" si="52"/>
        <v>0</v>
      </c>
      <c r="N281">
        <f t="shared" si="53"/>
        <v>0</v>
      </c>
      <c r="O281">
        <f t="shared" si="54"/>
        <v>0</v>
      </c>
      <c r="P281">
        <f t="shared" si="55"/>
        <v>0</v>
      </c>
      <c r="Q281">
        <f t="shared" si="56"/>
        <v>0</v>
      </c>
      <c r="R281">
        <f t="shared" si="57"/>
        <v>0</v>
      </c>
    </row>
    <row r="282" spans="1:18">
      <c r="A282" s="1">
        <v>40058</v>
      </c>
      <c r="B282" t="s">
        <v>0</v>
      </c>
      <c r="C282">
        <v>4</v>
      </c>
      <c r="D282" s="2">
        <v>0.77083333333333337</v>
      </c>
      <c r="E282" s="2">
        <v>0.8125</v>
      </c>
      <c r="F282" s="34">
        <f t="shared" si="47"/>
        <v>7.9999999999999929</v>
      </c>
      <c r="I282">
        <f t="shared" si="48"/>
        <v>7.9999999999999929</v>
      </c>
      <c r="J282">
        <f t="shared" si="49"/>
        <v>0</v>
      </c>
      <c r="K282">
        <f t="shared" si="50"/>
        <v>0</v>
      </c>
      <c r="L282">
        <f t="shared" si="51"/>
        <v>0</v>
      </c>
      <c r="M282">
        <f t="shared" si="52"/>
        <v>0</v>
      </c>
      <c r="N282">
        <f t="shared" si="53"/>
        <v>0</v>
      </c>
      <c r="O282">
        <f t="shared" si="54"/>
        <v>0</v>
      </c>
      <c r="P282">
        <f t="shared" si="55"/>
        <v>0</v>
      </c>
      <c r="Q282">
        <f t="shared" si="56"/>
        <v>0</v>
      </c>
      <c r="R282">
        <f t="shared" si="57"/>
        <v>0</v>
      </c>
    </row>
    <row r="283" spans="1:18">
      <c r="A283" s="1">
        <v>40064</v>
      </c>
      <c r="B283" t="s">
        <v>7</v>
      </c>
      <c r="C283">
        <v>8</v>
      </c>
      <c r="D283" s="2">
        <v>0.79166666666666663</v>
      </c>
      <c r="E283" s="2">
        <v>0.83333333333333337</v>
      </c>
      <c r="F283" s="34">
        <f t="shared" si="47"/>
        <v>16.000000000000028</v>
      </c>
      <c r="I283">
        <f t="shared" si="48"/>
        <v>0</v>
      </c>
      <c r="J283">
        <f t="shared" si="49"/>
        <v>16.000000000000028</v>
      </c>
      <c r="K283">
        <f t="shared" si="50"/>
        <v>0</v>
      </c>
      <c r="L283">
        <f t="shared" si="51"/>
        <v>0</v>
      </c>
      <c r="M283">
        <f t="shared" si="52"/>
        <v>0</v>
      </c>
      <c r="N283">
        <f t="shared" si="53"/>
        <v>0</v>
      </c>
      <c r="O283">
        <f t="shared" si="54"/>
        <v>0</v>
      </c>
      <c r="P283">
        <f t="shared" si="55"/>
        <v>0</v>
      </c>
      <c r="Q283">
        <f t="shared" si="56"/>
        <v>0</v>
      </c>
      <c r="R283">
        <f t="shared" si="57"/>
        <v>0</v>
      </c>
    </row>
    <row r="284" spans="1:18">
      <c r="A284" s="1">
        <v>40048</v>
      </c>
      <c r="B284" t="s">
        <v>7</v>
      </c>
      <c r="C284">
        <v>1</v>
      </c>
      <c r="D284" s="2">
        <v>0.6875</v>
      </c>
      <c r="E284" s="2">
        <v>0.72916666666666663</v>
      </c>
      <c r="F284" s="34">
        <f t="shared" si="47"/>
        <v>1.9999999999999982</v>
      </c>
      <c r="I284">
        <f t="shared" si="48"/>
        <v>0</v>
      </c>
      <c r="J284">
        <f t="shared" si="49"/>
        <v>1.9999999999999982</v>
      </c>
      <c r="K284">
        <f t="shared" si="50"/>
        <v>0</v>
      </c>
      <c r="L284">
        <f t="shared" si="51"/>
        <v>0</v>
      </c>
      <c r="M284">
        <f t="shared" si="52"/>
        <v>0</v>
      </c>
      <c r="N284">
        <f t="shared" si="53"/>
        <v>0</v>
      </c>
      <c r="O284">
        <f t="shared" si="54"/>
        <v>0</v>
      </c>
      <c r="P284">
        <f t="shared" si="55"/>
        <v>0</v>
      </c>
      <c r="Q284">
        <f t="shared" si="56"/>
        <v>0</v>
      </c>
      <c r="R284">
        <f t="shared" si="57"/>
        <v>0</v>
      </c>
    </row>
    <row r="285" spans="1:18">
      <c r="A285" s="1">
        <v>40078</v>
      </c>
      <c r="B285" t="s">
        <v>7</v>
      </c>
      <c r="C285">
        <v>1</v>
      </c>
      <c r="D285" s="2">
        <v>0.76041666666666663</v>
      </c>
      <c r="E285" s="2">
        <v>0.79166666666666663</v>
      </c>
      <c r="F285" s="34">
        <f t="shared" si="47"/>
        <v>1.5</v>
      </c>
      <c r="I285">
        <f t="shared" si="48"/>
        <v>0</v>
      </c>
      <c r="J285">
        <f t="shared" si="49"/>
        <v>1.5</v>
      </c>
      <c r="K285">
        <f t="shared" si="50"/>
        <v>0</v>
      </c>
      <c r="L285">
        <f t="shared" si="51"/>
        <v>0</v>
      </c>
      <c r="M285">
        <f t="shared" si="52"/>
        <v>0</v>
      </c>
      <c r="N285">
        <f t="shared" si="53"/>
        <v>0</v>
      </c>
      <c r="O285">
        <f t="shared" si="54"/>
        <v>0</v>
      </c>
      <c r="P285">
        <f t="shared" si="55"/>
        <v>0</v>
      </c>
      <c r="Q285">
        <f t="shared" si="56"/>
        <v>0</v>
      </c>
      <c r="R285">
        <f t="shared" si="57"/>
        <v>0</v>
      </c>
    </row>
    <row r="286" spans="1:18">
      <c r="A286" s="1">
        <v>40042</v>
      </c>
      <c r="B286" t="s">
        <v>0</v>
      </c>
      <c r="C286">
        <v>1</v>
      </c>
      <c r="D286" s="2">
        <v>0.75</v>
      </c>
      <c r="E286" s="2">
        <v>0.77083333333333337</v>
      </c>
      <c r="F286" s="34">
        <f t="shared" si="47"/>
        <v>1.0000000000000018</v>
      </c>
      <c r="I286">
        <f t="shared" si="48"/>
        <v>1.0000000000000018</v>
      </c>
      <c r="J286">
        <f t="shared" si="49"/>
        <v>0</v>
      </c>
      <c r="K286">
        <f t="shared" si="50"/>
        <v>0</v>
      </c>
      <c r="L286">
        <f t="shared" si="51"/>
        <v>0</v>
      </c>
      <c r="M286">
        <f t="shared" si="52"/>
        <v>0</v>
      </c>
      <c r="N286">
        <f t="shared" si="53"/>
        <v>0</v>
      </c>
      <c r="O286">
        <f t="shared" si="54"/>
        <v>0</v>
      </c>
      <c r="P286">
        <f t="shared" si="55"/>
        <v>0</v>
      </c>
      <c r="Q286">
        <f t="shared" si="56"/>
        <v>0</v>
      </c>
      <c r="R286">
        <f t="shared" si="57"/>
        <v>0</v>
      </c>
    </row>
    <row r="287" spans="1:18">
      <c r="A287" s="1">
        <v>40040</v>
      </c>
      <c r="B287" t="s">
        <v>7</v>
      </c>
      <c r="C287">
        <v>5</v>
      </c>
      <c r="D287" s="2">
        <v>0.33333333333333331</v>
      </c>
      <c r="E287" s="2">
        <v>0.375</v>
      </c>
      <c r="F287" s="34">
        <f t="shared" si="47"/>
        <v>10.000000000000004</v>
      </c>
      <c r="I287">
        <f t="shared" si="48"/>
        <v>0</v>
      </c>
      <c r="J287">
        <f t="shared" si="49"/>
        <v>10.000000000000004</v>
      </c>
      <c r="K287">
        <f t="shared" si="50"/>
        <v>0</v>
      </c>
      <c r="L287">
        <f t="shared" si="51"/>
        <v>0</v>
      </c>
      <c r="M287">
        <f t="shared" si="52"/>
        <v>0</v>
      </c>
      <c r="N287">
        <f t="shared" si="53"/>
        <v>0</v>
      </c>
      <c r="O287">
        <f t="shared" si="54"/>
        <v>0</v>
      </c>
      <c r="P287">
        <f t="shared" si="55"/>
        <v>0</v>
      </c>
      <c r="Q287">
        <f t="shared" si="56"/>
        <v>0</v>
      </c>
      <c r="R287">
        <f t="shared" si="57"/>
        <v>0</v>
      </c>
    </row>
    <row r="288" spans="1:18">
      <c r="A288" s="1">
        <v>40038</v>
      </c>
      <c r="B288" t="s">
        <v>0</v>
      </c>
      <c r="C288">
        <v>1</v>
      </c>
      <c r="D288" s="2">
        <v>0.79166666666666663</v>
      </c>
      <c r="E288" s="2">
        <v>0.8125</v>
      </c>
      <c r="F288" s="34">
        <f t="shared" si="47"/>
        <v>1.0000000000000018</v>
      </c>
      <c r="I288">
        <f t="shared" si="48"/>
        <v>1.0000000000000018</v>
      </c>
      <c r="J288">
        <f t="shared" si="49"/>
        <v>0</v>
      </c>
      <c r="K288">
        <f t="shared" si="50"/>
        <v>0</v>
      </c>
      <c r="L288">
        <f t="shared" si="51"/>
        <v>0</v>
      </c>
      <c r="M288">
        <f t="shared" si="52"/>
        <v>0</v>
      </c>
      <c r="N288">
        <f t="shared" si="53"/>
        <v>0</v>
      </c>
      <c r="O288">
        <f t="shared" si="54"/>
        <v>0</v>
      </c>
      <c r="P288">
        <f t="shared" si="55"/>
        <v>0</v>
      </c>
      <c r="Q288">
        <f t="shared" si="56"/>
        <v>0</v>
      </c>
      <c r="R288">
        <f t="shared" si="57"/>
        <v>0</v>
      </c>
    </row>
    <row r="289" spans="1:18">
      <c r="A289" s="1">
        <v>40036</v>
      </c>
      <c r="B289" t="s">
        <v>0</v>
      </c>
      <c r="C289">
        <v>1</v>
      </c>
      <c r="D289" s="2">
        <v>0.83333333333333337</v>
      </c>
      <c r="E289" s="2">
        <v>0.86458333333333337</v>
      </c>
      <c r="F289" s="34">
        <f t="shared" si="47"/>
        <v>1.5</v>
      </c>
      <c r="I289">
        <f t="shared" si="48"/>
        <v>1.5</v>
      </c>
      <c r="J289">
        <f t="shared" si="49"/>
        <v>0</v>
      </c>
      <c r="K289">
        <f t="shared" si="50"/>
        <v>0</v>
      </c>
      <c r="L289">
        <f t="shared" si="51"/>
        <v>0</v>
      </c>
      <c r="M289">
        <f t="shared" si="52"/>
        <v>0</v>
      </c>
      <c r="N289">
        <f t="shared" si="53"/>
        <v>0</v>
      </c>
      <c r="O289">
        <f t="shared" si="54"/>
        <v>0</v>
      </c>
      <c r="P289">
        <f t="shared" si="55"/>
        <v>0</v>
      </c>
      <c r="Q289">
        <f t="shared" si="56"/>
        <v>0</v>
      </c>
      <c r="R289">
        <f t="shared" si="57"/>
        <v>0</v>
      </c>
    </row>
    <row r="290" spans="1:18">
      <c r="A290" s="1">
        <v>39668</v>
      </c>
      <c r="B290" t="s">
        <v>7</v>
      </c>
      <c r="C290">
        <v>1</v>
      </c>
      <c r="D290" s="2">
        <v>0.6875</v>
      </c>
      <c r="E290" s="2">
        <v>0.72916666666666663</v>
      </c>
      <c r="F290" s="34">
        <f t="shared" si="47"/>
        <v>1.9999999999999982</v>
      </c>
      <c r="I290">
        <f t="shared" si="48"/>
        <v>0</v>
      </c>
      <c r="J290">
        <f t="shared" si="49"/>
        <v>1.9999999999999982</v>
      </c>
      <c r="K290">
        <f t="shared" si="50"/>
        <v>0</v>
      </c>
      <c r="L290">
        <f t="shared" si="51"/>
        <v>0</v>
      </c>
      <c r="M290">
        <f t="shared" si="52"/>
        <v>0</v>
      </c>
      <c r="N290">
        <f t="shared" si="53"/>
        <v>0</v>
      </c>
      <c r="O290">
        <f t="shared" si="54"/>
        <v>0</v>
      </c>
      <c r="P290">
        <f t="shared" si="55"/>
        <v>0</v>
      </c>
      <c r="Q290">
        <f t="shared" si="56"/>
        <v>0</v>
      </c>
      <c r="R290">
        <f t="shared" si="57"/>
        <v>0</v>
      </c>
    </row>
    <row r="291" spans="1:18">
      <c r="A291" s="1">
        <v>40032</v>
      </c>
      <c r="B291" t="s">
        <v>7</v>
      </c>
      <c r="C291">
        <v>1</v>
      </c>
      <c r="D291" s="2">
        <v>0.85416666666666663</v>
      </c>
      <c r="E291" s="2">
        <v>0.875</v>
      </c>
      <c r="F291" s="34">
        <f t="shared" si="47"/>
        <v>1.0000000000000018</v>
      </c>
      <c r="I291">
        <f t="shared" si="48"/>
        <v>0</v>
      </c>
      <c r="J291">
        <f t="shared" si="49"/>
        <v>1.0000000000000018</v>
      </c>
      <c r="K291">
        <f t="shared" si="50"/>
        <v>0</v>
      </c>
      <c r="L291">
        <f t="shared" si="51"/>
        <v>0</v>
      </c>
      <c r="M291">
        <f t="shared" si="52"/>
        <v>0</v>
      </c>
      <c r="N291">
        <f t="shared" si="53"/>
        <v>0</v>
      </c>
      <c r="O291">
        <f t="shared" si="54"/>
        <v>0</v>
      </c>
      <c r="P291">
        <f t="shared" si="55"/>
        <v>0</v>
      </c>
      <c r="Q291">
        <f t="shared" si="56"/>
        <v>0</v>
      </c>
      <c r="R291">
        <f t="shared" si="57"/>
        <v>0</v>
      </c>
    </row>
    <row r="292" spans="1:18">
      <c r="A292" s="1">
        <v>40029</v>
      </c>
      <c r="B292" t="s">
        <v>0</v>
      </c>
      <c r="C292">
        <v>3</v>
      </c>
      <c r="D292" s="2">
        <v>0.75</v>
      </c>
      <c r="E292" s="2">
        <v>0.78125</v>
      </c>
      <c r="F292" s="34">
        <f t="shared" si="47"/>
        <v>4.5</v>
      </c>
      <c r="I292">
        <f t="shared" si="48"/>
        <v>4.5</v>
      </c>
      <c r="J292">
        <f t="shared" si="49"/>
        <v>0</v>
      </c>
      <c r="K292">
        <f t="shared" si="50"/>
        <v>0</v>
      </c>
      <c r="L292">
        <f t="shared" si="51"/>
        <v>0</v>
      </c>
      <c r="M292">
        <f t="shared" si="52"/>
        <v>0</v>
      </c>
      <c r="N292">
        <f t="shared" si="53"/>
        <v>0</v>
      </c>
      <c r="O292">
        <f t="shared" si="54"/>
        <v>0</v>
      </c>
      <c r="P292">
        <f t="shared" si="55"/>
        <v>0</v>
      </c>
      <c r="Q292">
        <f t="shared" si="56"/>
        <v>0</v>
      </c>
      <c r="R292">
        <f t="shared" si="57"/>
        <v>0</v>
      </c>
    </row>
    <row r="293" spans="1:18">
      <c r="A293" s="1">
        <v>40025</v>
      </c>
      <c r="B293" s="2" t="s">
        <v>7</v>
      </c>
      <c r="C293">
        <v>3</v>
      </c>
      <c r="D293" s="2">
        <v>0.29166666666666669</v>
      </c>
      <c r="E293" s="2">
        <v>0.33333333333333331</v>
      </c>
      <c r="F293" s="34">
        <f t="shared" ref="F293:F335" si="58">C293*(E293-D293)*2*24</f>
        <v>5.9999999999999947</v>
      </c>
      <c r="I293">
        <f t="shared" ref="I293:I335" si="59">IF(($B293=B$1),($F293),(0))</f>
        <v>0</v>
      </c>
      <c r="J293">
        <f t="shared" ref="J293:J335" si="60">IF(($B293=C$1),($F293),(0))</f>
        <v>5.9999999999999947</v>
      </c>
      <c r="K293">
        <f t="shared" ref="K293:K335" si="61">IF(($B293=D$1),($F293),(0))</f>
        <v>0</v>
      </c>
      <c r="L293">
        <f t="shared" ref="L293:L335" si="62">IF(($B293=E$1),($F293),(0))</f>
        <v>0</v>
      </c>
      <c r="M293">
        <f t="shared" ref="M293:M335" si="63">IF(($B293=F$1),($F293),(0))</f>
        <v>0</v>
      </c>
      <c r="N293">
        <f t="shared" ref="N293:N335" si="64">IF(($B293=G$1),($F293),(0))</f>
        <v>0</v>
      </c>
      <c r="O293">
        <f t="shared" ref="O293:O335" si="65">IF(($B293=H$1),($F293),(0))</f>
        <v>0</v>
      </c>
      <c r="P293">
        <f t="shared" si="55"/>
        <v>0</v>
      </c>
      <c r="Q293">
        <f t="shared" si="56"/>
        <v>0</v>
      </c>
      <c r="R293">
        <f t="shared" si="57"/>
        <v>0</v>
      </c>
    </row>
    <row r="294" spans="1:18">
      <c r="A294" s="1">
        <v>40023</v>
      </c>
      <c r="B294" t="s">
        <v>0</v>
      </c>
      <c r="C294">
        <v>4</v>
      </c>
      <c r="D294" s="2">
        <v>0.79166666666666663</v>
      </c>
      <c r="E294" s="2">
        <v>0.82291666666666663</v>
      </c>
      <c r="F294" s="34">
        <f t="shared" si="58"/>
        <v>6</v>
      </c>
      <c r="I294">
        <f t="shared" si="59"/>
        <v>6</v>
      </c>
      <c r="J294">
        <f t="shared" si="60"/>
        <v>0</v>
      </c>
      <c r="K294">
        <f t="shared" si="61"/>
        <v>0</v>
      </c>
      <c r="L294">
        <f t="shared" si="62"/>
        <v>0</v>
      </c>
      <c r="M294">
        <f t="shared" si="63"/>
        <v>0</v>
      </c>
      <c r="N294">
        <f t="shared" si="64"/>
        <v>0</v>
      </c>
      <c r="O294">
        <f t="shared" si="65"/>
        <v>0</v>
      </c>
      <c r="P294">
        <f t="shared" si="55"/>
        <v>0</v>
      </c>
      <c r="Q294">
        <f t="shared" si="56"/>
        <v>0</v>
      </c>
      <c r="R294">
        <f t="shared" si="57"/>
        <v>0</v>
      </c>
    </row>
    <row r="295" spans="1:18">
      <c r="A295" s="1">
        <v>40011</v>
      </c>
      <c r="B295" t="s">
        <v>0</v>
      </c>
      <c r="C295">
        <v>3</v>
      </c>
      <c r="D295" s="2">
        <v>0.77083333333333337</v>
      </c>
      <c r="E295" s="2">
        <v>0.8125</v>
      </c>
      <c r="F295" s="34">
        <f t="shared" si="58"/>
        <v>5.9999999999999947</v>
      </c>
      <c r="I295">
        <f t="shared" si="59"/>
        <v>5.9999999999999947</v>
      </c>
      <c r="J295">
        <f t="shared" si="60"/>
        <v>0</v>
      </c>
      <c r="K295">
        <f t="shared" si="61"/>
        <v>0</v>
      </c>
      <c r="L295">
        <f t="shared" si="62"/>
        <v>0</v>
      </c>
      <c r="M295">
        <f t="shared" si="63"/>
        <v>0</v>
      </c>
      <c r="N295">
        <f t="shared" si="64"/>
        <v>0</v>
      </c>
      <c r="O295">
        <f t="shared" si="65"/>
        <v>0</v>
      </c>
      <c r="P295">
        <f t="shared" si="55"/>
        <v>0</v>
      </c>
      <c r="Q295">
        <f t="shared" si="56"/>
        <v>0</v>
      </c>
      <c r="R295">
        <f t="shared" si="57"/>
        <v>0</v>
      </c>
    </row>
    <row r="296" spans="1:18">
      <c r="A296" s="1">
        <v>40011</v>
      </c>
      <c r="B296" t="s">
        <v>7</v>
      </c>
      <c r="C296">
        <v>2</v>
      </c>
      <c r="D296" s="2">
        <v>0.875</v>
      </c>
      <c r="E296" s="2">
        <v>0.92708333333333337</v>
      </c>
      <c r="F296" s="34">
        <f t="shared" si="58"/>
        <v>5.0000000000000036</v>
      </c>
      <c r="I296">
        <f t="shared" si="59"/>
        <v>0</v>
      </c>
      <c r="J296">
        <f t="shared" si="60"/>
        <v>5.0000000000000036</v>
      </c>
      <c r="K296">
        <f t="shared" si="61"/>
        <v>0</v>
      </c>
      <c r="L296">
        <f t="shared" si="62"/>
        <v>0</v>
      </c>
      <c r="M296">
        <f t="shared" si="63"/>
        <v>0</v>
      </c>
      <c r="N296">
        <f t="shared" si="64"/>
        <v>0</v>
      </c>
      <c r="O296">
        <f t="shared" si="65"/>
        <v>0</v>
      </c>
      <c r="P296">
        <f t="shared" si="55"/>
        <v>0</v>
      </c>
      <c r="Q296">
        <f t="shared" si="56"/>
        <v>0</v>
      </c>
      <c r="R296">
        <f t="shared" si="57"/>
        <v>0</v>
      </c>
    </row>
    <row r="297" spans="1:18">
      <c r="A297" s="1">
        <v>40010</v>
      </c>
      <c r="B297" t="s">
        <v>7</v>
      </c>
      <c r="C297">
        <v>2</v>
      </c>
      <c r="D297" s="2">
        <v>0.75</v>
      </c>
      <c r="E297" s="2">
        <v>0.79166666666666663</v>
      </c>
      <c r="F297" s="34">
        <f t="shared" si="58"/>
        <v>3.9999999999999964</v>
      </c>
      <c r="I297">
        <f t="shared" si="59"/>
        <v>0</v>
      </c>
      <c r="J297">
        <f t="shared" si="60"/>
        <v>3.9999999999999964</v>
      </c>
      <c r="K297">
        <f t="shared" si="61"/>
        <v>0</v>
      </c>
      <c r="L297">
        <f t="shared" si="62"/>
        <v>0</v>
      </c>
      <c r="M297">
        <f t="shared" si="63"/>
        <v>0</v>
      </c>
      <c r="N297">
        <f t="shared" si="64"/>
        <v>0</v>
      </c>
      <c r="O297">
        <f t="shared" si="65"/>
        <v>0</v>
      </c>
      <c r="P297">
        <f t="shared" si="55"/>
        <v>0</v>
      </c>
      <c r="Q297">
        <f t="shared" si="56"/>
        <v>0</v>
      </c>
      <c r="R297">
        <f t="shared" si="57"/>
        <v>0</v>
      </c>
    </row>
    <row r="298" spans="1:18">
      <c r="A298" s="1">
        <v>40010</v>
      </c>
      <c r="B298" t="s">
        <v>7</v>
      </c>
      <c r="C298">
        <v>4</v>
      </c>
      <c r="D298" s="2">
        <v>0.77083333333333337</v>
      </c>
      <c r="E298" s="2">
        <v>0.8125</v>
      </c>
      <c r="F298" s="34">
        <f t="shared" si="58"/>
        <v>7.9999999999999929</v>
      </c>
      <c r="I298">
        <f t="shared" si="59"/>
        <v>0</v>
      </c>
      <c r="J298">
        <f t="shared" si="60"/>
        <v>7.9999999999999929</v>
      </c>
      <c r="K298">
        <f t="shared" si="61"/>
        <v>0</v>
      </c>
      <c r="L298">
        <f t="shared" si="62"/>
        <v>0</v>
      </c>
      <c r="M298">
        <f t="shared" si="63"/>
        <v>0</v>
      </c>
      <c r="N298">
        <f t="shared" si="64"/>
        <v>0</v>
      </c>
      <c r="O298">
        <f t="shared" si="65"/>
        <v>0</v>
      </c>
      <c r="P298">
        <f t="shared" si="55"/>
        <v>0</v>
      </c>
      <c r="Q298">
        <f t="shared" si="56"/>
        <v>0</v>
      </c>
      <c r="R298">
        <f t="shared" si="57"/>
        <v>0</v>
      </c>
    </row>
    <row r="299" spans="1:18">
      <c r="A299" s="1">
        <v>40010</v>
      </c>
      <c r="B299" t="s">
        <v>7</v>
      </c>
      <c r="C299">
        <v>3</v>
      </c>
      <c r="D299" s="2">
        <v>0.77083333333333337</v>
      </c>
      <c r="E299" s="2">
        <v>0.79166666666666663</v>
      </c>
      <c r="F299" s="34">
        <f t="shared" si="58"/>
        <v>2.9999999999999893</v>
      </c>
      <c r="I299">
        <f t="shared" si="59"/>
        <v>0</v>
      </c>
      <c r="J299">
        <f t="shared" si="60"/>
        <v>2.9999999999999893</v>
      </c>
      <c r="K299">
        <f t="shared" si="61"/>
        <v>0</v>
      </c>
      <c r="L299">
        <f t="shared" si="62"/>
        <v>0</v>
      </c>
      <c r="M299">
        <f t="shared" si="63"/>
        <v>0</v>
      </c>
      <c r="N299">
        <f t="shared" si="64"/>
        <v>0</v>
      </c>
      <c r="O299">
        <f t="shared" si="65"/>
        <v>0</v>
      </c>
      <c r="P299">
        <f t="shared" si="55"/>
        <v>0</v>
      </c>
      <c r="Q299">
        <f t="shared" si="56"/>
        <v>0</v>
      </c>
      <c r="R299">
        <f t="shared" si="57"/>
        <v>0</v>
      </c>
    </row>
    <row r="300" spans="1:18">
      <c r="A300" s="1">
        <v>40010</v>
      </c>
      <c r="B300" t="s">
        <v>7</v>
      </c>
      <c r="C300">
        <v>1</v>
      </c>
      <c r="D300" s="2">
        <v>0.79166666666666663</v>
      </c>
      <c r="E300" s="2">
        <v>0.83333333333333337</v>
      </c>
      <c r="F300" s="34">
        <f t="shared" si="58"/>
        <v>2.0000000000000036</v>
      </c>
      <c r="I300">
        <f t="shared" si="59"/>
        <v>0</v>
      </c>
      <c r="J300">
        <f t="shared" si="60"/>
        <v>2.0000000000000036</v>
      </c>
      <c r="K300">
        <f t="shared" si="61"/>
        <v>0</v>
      </c>
      <c r="L300">
        <f t="shared" si="62"/>
        <v>0</v>
      </c>
      <c r="M300">
        <f t="shared" si="63"/>
        <v>0</v>
      </c>
      <c r="N300">
        <f t="shared" si="64"/>
        <v>0</v>
      </c>
      <c r="O300">
        <f t="shared" si="65"/>
        <v>0</v>
      </c>
      <c r="P300">
        <f t="shared" si="55"/>
        <v>0</v>
      </c>
      <c r="Q300">
        <f t="shared" si="56"/>
        <v>0</v>
      </c>
      <c r="R300">
        <f t="shared" si="57"/>
        <v>0</v>
      </c>
    </row>
    <row r="301" spans="1:18">
      <c r="A301" s="1">
        <v>40009</v>
      </c>
      <c r="B301" t="s">
        <v>7</v>
      </c>
      <c r="C301">
        <v>1</v>
      </c>
      <c r="D301" s="2">
        <v>0.89583333333333337</v>
      </c>
      <c r="E301" s="2">
        <v>0.9375</v>
      </c>
      <c r="F301" s="34">
        <f t="shared" si="58"/>
        <v>1.9999999999999982</v>
      </c>
      <c r="I301">
        <f t="shared" si="59"/>
        <v>0</v>
      </c>
      <c r="J301">
        <f t="shared" si="60"/>
        <v>1.9999999999999982</v>
      </c>
      <c r="K301">
        <f t="shared" si="61"/>
        <v>0</v>
      </c>
      <c r="L301">
        <f t="shared" si="62"/>
        <v>0</v>
      </c>
      <c r="M301">
        <f t="shared" si="63"/>
        <v>0</v>
      </c>
      <c r="N301">
        <f t="shared" si="64"/>
        <v>0</v>
      </c>
      <c r="O301">
        <f t="shared" si="65"/>
        <v>0</v>
      </c>
      <c r="P301">
        <f t="shared" si="55"/>
        <v>0</v>
      </c>
      <c r="Q301">
        <f t="shared" si="56"/>
        <v>0</v>
      </c>
      <c r="R301">
        <f t="shared" si="57"/>
        <v>0</v>
      </c>
    </row>
    <row r="302" spans="1:18">
      <c r="A302" s="1">
        <v>40008</v>
      </c>
      <c r="B302" t="s">
        <v>0</v>
      </c>
      <c r="C302">
        <v>3</v>
      </c>
      <c r="D302" s="2">
        <v>0.75</v>
      </c>
      <c r="E302" s="2">
        <v>0.78125</v>
      </c>
      <c r="F302" s="34">
        <f t="shared" si="58"/>
        <v>4.5</v>
      </c>
      <c r="I302">
        <f t="shared" si="59"/>
        <v>4.5</v>
      </c>
      <c r="J302">
        <f t="shared" si="60"/>
        <v>0</v>
      </c>
      <c r="K302">
        <f t="shared" si="61"/>
        <v>0</v>
      </c>
      <c r="L302">
        <f t="shared" si="62"/>
        <v>0</v>
      </c>
      <c r="M302">
        <f t="shared" si="63"/>
        <v>0</v>
      </c>
      <c r="N302">
        <f t="shared" si="64"/>
        <v>0</v>
      </c>
      <c r="O302">
        <f t="shared" si="65"/>
        <v>0</v>
      </c>
      <c r="P302">
        <f t="shared" si="55"/>
        <v>0</v>
      </c>
      <c r="Q302">
        <f t="shared" si="56"/>
        <v>0</v>
      </c>
      <c r="R302">
        <f t="shared" si="57"/>
        <v>0</v>
      </c>
    </row>
    <row r="303" spans="1:18">
      <c r="A303" s="1">
        <v>40007</v>
      </c>
      <c r="B303" t="s">
        <v>7</v>
      </c>
      <c r="C303">
        <v>5</v>
      </c>
      <c r="D303" s="2">
        <v>0.77083333333333337</v>
      </c>
      <c r="E303" s="2">
        <v>0.8125</v>
      </c>
      <c r="F303" s="34">
        <f t="shared" si="58"/>
        <v>9.9999999999999911</v>
      </c>
      <c r="I303">
        <f t="shared" si="59"/>
        <v>0</v>
      </c>
      <c r="J303">
        <f t="shared" si="60"/>
        <v>9.9999999999999911</v>
      </c>
      <c r="K303">
        <f t="shared" si="61"/>
        <v>0</v>
      </c>
      <c r="L303">
        <f t="shared" si="62"/>
        <v>0</v>
      </c>
      <c r="M303">
        <f t="shared" si="63"/>
        <v>0</v>
      </c>
      <c r="N303">
        <f t="shared" si="64"/>
        <v>0</v>
      </c>
      <c r="O303">
        <f t="shared" si="65"/>
        <v>0</v>
      </c>
      <c r="P303">
        <f t="shared" si="55"/>
        <v>0</v>
      </c>
      <c r="Q303">
        <f t="shared" si="56"/>
        <v>0</v>
      </c>
      <c r="R303">
        <f t="shared" si="57"/>
        <v>0</v>
      </c>
    </row>
    <row r="304" spans="1:18">
      <c r="A304" s="1">
        <v>40005</v>
      </c>
      <c r="B304" t="s">
        <v>7</v>
      </c>
      <c r="C304">
        <v>8</v>
      </c>
      <c r="D304" s="2">
        <v>0.39583333333333331</v>
      </c>
      <c r="E304" s="2">
        <v>0.4375</v>
      </c>
      <c r="F304" s="34">
        <f t="shared" si="58"/>
        <v>16.000000000000007</v>
      </c>
      <c r="I304">
        <f t="shared" si="59"/>
        <v>0</v>
      </c>
      <c r="J304">
        <f t="shared" si="60"/>
        <v>16.000000000000007</v>
      </c>
      <c r="K304">
        <f t="shared" si="61"/>
        <v>0</v>
      </c>
      <c r="L304">
        <f t="shared" si="62"/>
        <v>0</v>
      </c>
      <c r="M304">
        <f t="shared" si="63"/>
        <v>0</v>
      </c>
      <c r="N304">
        <f t="shared" si="64"/>
        <v>0</v>
      </c>
      <c r="O304">
        <f t="shared" si="65"/>
        <v>0</v>
      </c>
      <c r="P304">
        <f t="shared" si="55"/>
        <v>0</v>
      </c>
      <c r="Q304">
        <f t="shared" si="56"/>
        <v>0</v>
      </c>
      <c r="R304">
        <f t="shared" si="57"/>
        <v>0</v>
      </c>
    </row>
    <row r="305" spans="1:18">
      <c r="A305" s="1">
        <v>40003</v>
      </c>
      <c r="B305" t="s">
        <v>7</v>
      </c>
      <c r="C305">
        <v>2</v>
      </c>
      <c r="D305" s="2">
        <v>0.75</v>
      </c>
      <c r="E305" s="2">
        <v>0.79166666666666663</v>
      </c>
      <c r="F305" s="34">
        <f t="shared" si="58"/>
        <v>3.9999999999999964</v>
      </c>
      <c r="I305">
        <f t="shared" si="59"/>
        <v>0</v>
      </c>
      <c r="J305">
        <f t="shared" si="60"/>
        <v>3.9999999999999964</v>
      </c>
      <c r="K305">
        <f t="shared" si="61"/>
        <v>0</v>
      </c>
      <c r="L305">
        <f t="shared" si="62"/>
        <v>0</v>
      </c>
      <c r="M305">
        <f t="shared" si="63"/>
        <v>0</v>
      </c>
      <c r="N305">
        <f t="shared" si="64"/>
        <v>0</v>
      </c>
      <c r="O305">
        <f t="shared" si="65"/>
        <v>0</v>
      </c>
      <c r="P305">
        <f t="shared" si="55"/>
        <v>0</v>
      </c>
      <c r="Q305">
        <f t="shared" si="56"/>
        <v>0</v>
      </c>
      <c r="R305">
        <f t="shared" si="57"/>
        <v>0</v>
      </c>
    </row>
    <row r="306" spans="1:18">
      <c r="A306" s="1">
        <v>40000</v>
      </c>
      <c r="B306" t="s">
        <v>9</v>
      </c>
      <c r="C306">
        <v>8</v>
      </c>
      <c r="D306" s="2">
        <v>0.77083333333333337</v>
      </c>
      <c r="E306" s="2">
        <v>0.8125</v>
      </c>
      <c r="F306" s="34">
        <f t="shared" si="58"/>
        <v>15.999999999999986</v>
      </c>
      <c r="I306">
        <f t="shared" si="59"/>
        <v>0</v>
      </c>
      <c r="J306">
        <f t="shared" si="60"/>
        <v>0</v>
      </c>
      <c r="K306">
        <f t="shared" si="61"/>
        <v>0</v>
      </c>
      <c r="L306">
        <f t="shared" si="62"/>
        <v>0</v>
      </c>
      <c r="M306">
        <f t="shared" si="63"/>
        <v>15.999999999999986</v>
      </c>
      <c r="N306">
        <f t="shared" si="64"/>
        <v>0</v>
      </c>
      <c r="O306">
        <f t="shared" si="65"/>
        <v>0</v>
      </c>
      <c r="P306">
        <f t="shared" si="55"/>
        <v>0</v>
      </c>
      <c r="Q306">
        <f t="shared" si="56"/>
        <v>0</v>
      </c>
      <c r="R306">
        <f t="shared" si="57"/>
        <v>0</v>
      </c>
    </row>
    <row r="307" spans="1:18">
      <c r="A307" s="1">
        <v>39999</v>
      </c>
      <c r="B307" t="s">
        <v>7</v>
      </c>
      <c r="C307">
        <v>1</v>
      </c>
      <c r="D307" s="2">
        <v>0.66666666666666663</v>
      </c>
      <c r="E307" s="2">
        <v>0.70833333333333337</v>
      </c>
      <c r="F307" s="34">
        <f t="shared" si="58"/>
        <v>2.0000000000000036</v>
      </c>
      <c r="I307">
        <f t="shared" si="59"/>
        <v>0</v>
      </c>
      <c r="J307">
        <f t="shared" si="60"/>
        <v>2.0000000000000036</v>
      </c>
      <c r="K307">
        <f t="shared" si="61"/>
        <v>0</v>
      </c>
      <c r="L307">
        <f t="shared" si="62"/>
        <v>0</v>
      </c>
      <c r="M307">
        <f t="shared" si="63"/>
        <v>0</v>
      </c>
      <c r="N307">
        <f t="shared" si="64"/>
        <v>0</v>
      </c>
      <c r="O307">
        <f t="shared" si="65"/>
        <v>0</v>
      </c>
      <c r="P307">
        <f t="shared" si="55"/>
        <v>0</v>
      </c>
      <c r="Q307">
        <f t="shared" si="56"/>
        <v>0</v>
      </c>
      <c r="R307">
        <f t="shared" si="57"/>
        <v>0</v>
      </c>
    </row>
    <row r="308" spans="1:18">
      <c r="A308" s="1">
        <v>39997</v>
      </c>
      <c r="B308" t="s">
        <v>0</v>
      </c>
      <c r="C308">
        <v>3</v>
      </c>
      <c r="D308" s="2">
        <v>0.73958333333333337</v>
      </c>
      <c r="E308" s="2">
        <v>0.77083333333333337</v>
      </c>
      <c r="F308" s="34">
        <f t="shared" si="58"/>
        <v>4.5</v>
      </c>
      <c r="I308">
        <f t="shared" si="59"/>
        <v>4.5</v>
      </c>
      <c r="J308">
        <f t="shared" si="60"/>
        <v>0</v>
      </c>
      <c r="K308">
        <f t="shared" si="61"/>
        <v>0</v>
      </c>
      <c r="L308">
        <f t="shared" si="62"/>
        <v>0</v>
      </c>
      <c r="M308">
        <f t="shared" si="63"/>
        <v>0</v>
      </c>
      <c r="N308">
        <f t="shared" si="64"/>
        <v>0</v>
      </c>
      <c r="O308">
        <f t="shared" si="65"/>
        <v>0</v>
      </c>
      <c r="P308">
        <f t="shared" si="55"/>
        <v>0</v>
      </c>
      <c r="Q308">
        <f t="shared" si="56"/>
        <v>0</v>
      </c>
      <c r="R308">
        <f t="shared" si="57"/>
        <v>0</v>
      </c>
    </row>
    <row r="309" spans="1:18">
      <c r="A309" s="1">
        <v>39996</v>
      </c>
      <c r="B309" t="s">
        <v>7</v>
      </c>
      <c r="C309">
        <v>2</v>
      </c>
      <c r="D309" s="2">
        <v>0.75</v>
      </c>
      <c r="E309" s="2">
        <v>0.79166666666666663</v>
      </c>
      <c r="F309" s="34">
        <f t="shared" si="58"/>
        <v>3.9999999999999964</v>
      </c>
      <c r="I309">
        <f t="shared" si="59"/>
        <v>0</v>
      </c>
      <c r="J309">
        <f t="shared" si="60"/>
        <v>3.9999999999999964</v>
      </c>
      <c r="K309">
        <f t="shared" si="61"/>
        <v>0</v>
      </c>
      <c r="L309">
        <f t="shared" si="62"/>
        <v>0</v>
      </c>
      <c r="M309">
        <f t="shared" si="63"/>
        <v>0</v>
      </c>
      <c r="N309">
        <f t="shared" si="64"/>
        <v>0</v>
      </c>
      <c r="O309">
        <f t="shared" si="65"/>
        <v>0</v>
      </c>
      <c r="P309">
        <f t="shared" si="55"/>
        <v>0</v>
      </c>
      <c r="Q309">
        <f t="shared" si="56"/>
        <v>0</v>
      </c>
      <c r="R309">
        <f t="shared" si="57"/>
        <v>0</v>
      </c>
    </row>
    <row r="310" spans="1:18">
      <c r="A310" s="1">
        <v>39996</v>
      </c>
      <c r="B310" t="s">
        <v>9</v>
      </c>
      <c r="C310">
        <v>7</v>
      </c>
      <c r="D310" s="2">
        <v>0.77083333333333337</v>
      </c>
      <c r="E310" s="2">
        <v>0.8125</v>
      </c>
      <c r="F310" s="34">
        <f t="shared" si="58"/>
        <v>13.999999999999988</v>
      </c>
      <c r="I310">
        <f t="shared" si="59"/>
        <v>0</v>
      </c>
      <c r="J310">
        <f t="shared" si="60"/>
        <v>0</v>
      </c>
      <c r="K310">
        <f t="shared" si="61"/>
        <v>0</v>
      </c>
      <c r="L310">
        <f t="shared" si="62"/>
        <v>0</v>
      </c>
      <c r="M310">
        <f t="shared" si="63"/>
        <v>13.999999999999988</v>
      </c>
      <c r="N310">
        <f t="shared" si="64"/>
        <v>0</v>
      </c>
      <c r="O310">
        <f t="shared" si="65"/>
        <v>0</v>
      </c>
      <c r="P310">
        <f t="shared" si="55"/>
        <v>0</v>
      </c>
      <c r="Q310">
        <f t="shared" si="56"/>
        <v>0</v>
      </c>
      <c r="R310">
        <f t="shared" si="57"/>
        <v>0</v>
      </c>
    </row>
    <row r="311" spans="1:18">
      <c r="A311" s="1">
        <v>39996</v>
      </c>
      <c r="B311" t="s">
        <v>0</v>
      </c>
      <c r="C311">
        <v>5</v>
      </c>
      <c r="D311" s="2">
        <v>0.8125</v>
      </c>
      <c r="E311" s="2">
        <v>0.85416666666666663</v>
      </c>
      <c r="F311" s="34">
        <f t="shared" si="58"/>
        <v>9.9999999999999911</v>
      </c>
      <c r="I311">
        <f t="shared" si="59"/>
        <v>9.9999999999999911</v>
      </c>
      <c r="J311">
        <f t="shared" si="60"/>
        <v>0</v>
      </c>
      <c r="K311">
        <f t="shared" si="61"/>
        <v>0</v>
      </c>
      <c r="L311">
        <f t="shared" si="62"/>
        <v>0</v>
      </c>
      <c r="M311">
        <f t="shared" si="63"/>
        <v>0</v>
      </c>
      <c r="N311">
        <f t="shared" si="64"/>
        <v>0</v>
      </c>
      <c r="O311">
        <f t="shared" si="65"/>
        <v>0</v>
      </c>
      <c r="P311">
        <f t="shared" si="55"/>
        <v>0</v>
      </c>
      <c r="Q311">
        <f t="shared" si="56"/>
        <v>0</v>
      </c>
      <c r="R311">
        <f t="shared" si="57"/>
        <v>0</v>
      </c>
    </row>
    <row r="312" spans="1:18">
      <c r="A312" s="1">
        <v>39994</v>
      </c>
      <c r="B312" t="s">
        <v>7</v>
      </c>
      <c r="C312">
        <v>7</v>
      </c>
      <c r="D312" s="2">
        <v>0.79166666666666663</v>
      </c>
      <c r="E312" s="2">
        <v>0.83333333333333337</v>
      </c>
      <c r="F312" s="34">
        <f t="shared" si="58"/>
        <v>14.000000000000025</v>
      </c>
      <c r="I312">
        <f t="shared" si="59"/>
        <v>0</v>
      </c>
      <c r="J312">
        <f t="shared" si="60"/>
        <v>14.000000000000025</v>
      </c>
      <c r="K312">
        <f t="shared" si="61"/>
        <v>0</v>
      </c>
      <c r="L312">
        <f t="shared" si="62"/>
        <v>0</v>
      </c>
      <c r="M312">
        <f t="shared" si="63"/>
        <v>0</v>
      </c>
      <c r="N312">
        <f t="shared" si="64"/>
        <v>0</v>
      </c>
      <c r="O312">
        <f t="shared" si="65"/>
        <v>0</v>
      </c>
      <c r="P312">
        <f t="shared" si="55"/>
        <v>0</v>
      </c>
      <c r="Q312">
        <f t="shared" si="56"/>
        <v>0</v>
      </c>
      <c r="R312">
        <f t="shared" si="57"/>
        <v>0</v>
      </c>
    </row>
    <row r="313" spans="1:18">
      <c r="A313" s="1">
        <v>39994</v>
      </c>
      <c r="B313" t="s">
        <v>0</v>
      </c>
      <c r="C313">
        <v>3</v>
      </c>
      <c r="D313" s="2">
        <v>0.70833333333333337</v>
      </c>
      <c r="E313" s="2">
        <v>0.73958333333333337</v>
      </c>
      <c r="F313" s="34">
        <f t="shared" si="58"/>
        <v>4.5</v>
      </c>
      <c r="I313">
        <f t="shared" si="59"/>
        <v>4.5</v>
      </c>
      <c r="J313">
        <f t="shared" si="60"/>
        <v>0</v>
      </c>
      <c r="K313">
        <f t="shared" si="61"/>
        <v>0</v>
      </c>
      <c r="L313">
        <f t="shared" si="62"/>
        <v>0</v>
      </c>
      <c r="M313">
        <f t="shared" si="63"/>
        <v>0</v>
      </c>
      <c r="N313">
        <f t="shared" si="64"/>
        <v>0</v>
      </c>
      <c r="O313">
        <f t="shared" si="65"/>
        <v>0</v>
      </c>
      <c r="P313">
        <f t="shared" si="55"/>
        <v>0</v>
      </c>
      <c r="Q313">
        <f t="shared" si="56"/>
        <v>0</v>
      </c>
      <c r="R313">
        <f t="shared" si="57"/>
        <v>0</v>
      </c>
    </row>
    <row r="314" spans="1:18">
      <c r="A314" s="1">
        <v>39994</v>
      </c>
      <c r="B314" t="s">
        <v>9</v>
      </c>
      <c r="C314">
        <v>5</v>
      </c>
      <c r="D314" s="2">
        <v>0.76041666666666663</v>
      </c>
      <c r="E314" s="2">
        <v>0.79166666666666663</v>
      </c>
      <c r="F314" s="34">
        <f t="shared" si="58"/>
        <v>7.5</v>
      </c>
      <c r="I314">
        <f t="shared" si="59"/>
        <v>0</v>
      </c>
      <c r="J314">
        <f t="shared" si="60"/>
        <v>0</v>
      </c>
      <c r="K314">
        <f t="shared" si="61"/>
        <v>0</v>
      </c>
      <c r="L314">
        <f t="shared" si="62"/>
        <v>0</v>
      </c>
      <c r="M314">
        <f t="shared" si="63"/>
        <v>7.5</v>
      </c>
      <c r="N314">
        <f t="shared" si="64"/>
        <v>0</v>
      </c>
      <c r="O314">
        <f t="shared" si="65"/>
        <v>0</v>
      </c>
      <c r="P314">
        <f t="shared" si="55"/>
        <v>0</v>
      </c>
      <c r="Q314">
        <f t="shared" si="56"/>
        <v>0</v>
      </c>
      <c r="R314">
        <f t="shared" si="57"/>
        <v>0</v>
      </c>
    </row>
    <row r="315" spans="1:18">
      <c r="A315" s="1">
        <v>39993</v>
      </c>
      <c r="B315" t="s">
        <v>7</v>
      </c>
      <c r="C315">
        <v>8</v>
      </c>
      <c r="D315" s="2">
        <v>0.79166666666666663</v>
      </c>
      <c r="E315" s="2">
        <v>0.83333333333333337</v>
      </c>
      <c r="F315" s="34">
        <f t="shared" si="58"/>
        <v>16.000000000000028</v>
      </c>
      <c r="I315">
        <f t="shared" si="59"/>
        <v>0</v>
      </c>
      <c r="J315">
        <f t="shared" si="60"/>
        <v>16.000000000000028</v>
      </c>
      <c r="K315">
        <f t="shared" si="61"/>
        <v>0</v>
      </c>
      <c r="L315">
        <f t="shared" si="62"/>
        <v>0</v>
      </c>
      <c r="M315">
        <f t="shared" si="63"/>
        <v>0</v>
      </c>
      <c r="N315">
        <f t="shared" si="64"/>
        <v>0</v>
      </c>
      <c r="O315">
        <f t="shared" si="65"/>
        <v>0</v>
      </c>
      <c r="P315">
        <f t="shared" si="55"/>
        <v>0</v>
      </c>
      <c r="Q315">
        <f t="shared" si="56"/>
        <v>0</v>
      </c>
      <c r="R315">
        <f t="shared" si="57"/>
        <v>0</v>
      </c>
    </row>
    <row r="316" spans="1:18">
      <c r="A316" s="1">
        <v>39993</v>
      </c>
      <c r="B316" t="s">
        <v>0</v>
      </c>
      <c r="C316">
        <v>2</v>
      </c>
      <c r="D316" s="2">
        <v>0.75</v>
      </c>
      <c r="E316" s="2">
        <v>0.77083333333333337</v>
      </c>
      <c r="F316" s="34">
        <f t="shared" si="58"/>
        <v>2.0000000000000036</v>
      </c>
      <c r="I316">
        <f t="shared" si="59"/>
        <v>2.0000000000000036</v>
      </c>
      <c r="J316">
        <f t="shared" si="60"/>
        <v>0</v>
      </c>
      <c r="K316">
        <f t="shared" si="61"/>
        <v>0</v>
      </c>
      <c r="L316">
        <f t="shared" si="62"/>
        <v>0</v>
      </c>
      <c r="M316">
        <f t="shared" si="63"/>
        <v>0</v>
      </c>
      <c r="N316">
        <f t="shared" si="64"/>
        <v>0</v>
      </c>
      <c r="O316">
        <f t="shared" si="65"/>
        <v>0</v>
      </c>
      <c r="P316">
        <f t="shared" si="55"/>
        <v>0</v>
      </c>
      <c r="Q316">
        <f t="shared" si="56"/>
        <v>0</v>
      </c>
      <c r="R316">
        <f t="shared" si="57"/>
        <v>0</v>
      </c>
    </row>
    <row r="317" spans="1:18">
      <c r="A317" s="1">
        <v>39989</v>
      </c>
      <c r="B317" t="s">
        <v>7</v>
      </c>
      <c r="C317">
        <v>2</v>
      </c>
      <c r="D317" s="2">
        <v>0.75</v>
      </c>
      <c r="E317" s="2">
        <v>0.79166666666666663</v>
      </c>
      <c r="F317" s="34">
        <f t="shared" si="58"/>
        <v>3.9999999999999964</v>
      </c>
      <c r="I317">
        <f t="shared" si="59"/>
        <v>0</v>
      </c>
      <c r="J317">
        <f t="shared" si="60"/>
        <v>3.9999999999999964</v>
      </c>
      <c r="K317">
        <f t="shared" si="61"/>
        <v>0</v>
      </c>
      <c r="L317">
        <f t="shared" si="62"/>
        <v>0</v>
      </c>
      <c r="M317">
        <f t="shared" si="63"/>
        <v>0</v>
      </c>
      <c r="N317">
        <f t="shared" si="64"/>
        <v>0</v>
      </c>
      <c r="O317">
        <f t="shared" si="65"/>
        <v>0</v>
      </c>
      <c r="P317">
        <f t="shared" si="55"/>
        <v>0</v>
      </c>
      <c r="Q317">
        <f t="shared" si="56"/>
        <v>0</v>
      </c>
      <c r="R317">
        <f t="shared" si="57"/>
        <v>0</v>
      </c>
    </row>
    <row r="318" spans="1:18">
      <c r="A318" s="1">
        <v>39987</v>
      </c>
      <c r="B318" t="s">
        <v>0</v>
      </c>
      <c r="C318">
        <v>6</v>
      </c>
      <c r="D318" s="2">
        <v>0.75</v>
      </c>
      <c r="E318" s="2">
        <v>0.78125</v>
      </c>
      <c r="F318" s="34">
        <f t="shared" si="58"/>
        <v>9</v>
      </c>
      <c r="I318">
        <f t="shared" si="59"/>
        <v>9</v>
      </c>
      <c r="J318">
        <f t="shared" si="60"/>
        <v>0</v>
      </c>
      <c r="K318">
        <f t="shared" si="61"/>
        <v>0</v>
      </c>
      <c r="L318">
        <f t="shared" si="62"/>
        <v>0</v>
      </c>
      <c r="M318">
        <f t="shared" si="63"/>
        <v>0</v>
      </c>
      <c r="N318">
        <f t="shared" si="64"/>
        <v>0</v>
      </c>
      <c r="O318">
        <f t="shared" si="65"/>
        <v>0</v>
      </c>
      <c r="P318">
        <f t="shared" si="55"/>
        <v>0</v>
      </c>
      <c r="Q318">
        <f t="shared" si="56"/>
        <v>0</v>
      </c>
      <c r="R318">
        <f t="shared" si="57"/>
        <v>0</v>
      </c>
    </row>
    <row r="319" spans="1:18">
      <c r="A319" s="1">
        <v>39987</v>
      </c>
      <c r="B319" t="s">
        <v>0</v>
      </c>
      <c r="C319">
        <v>4</v>
      </c>
      <c r="D319" s="2">
        <v>0.78125</v>
      </c>
      <c r="E319" s="2">
        <v>0.8125</v>
      </c>
      <c r="F319" s="34">
        <f t="shared" si="58"/>
        <v>6</v>
      </c>
      <c r="I319">
        <f t="shared" si="59"/>
        <v>6</v>
      </c>
      <c r="J319">
        <f t="shared" si="60"/>
        <v>0</v>
      </c>
      <c r="K319">
        <f t="shared" si="61"/>
        <v>0</v>
      </c>
      <c r="L319">
        <f t="shared" si="62"/>
        <v>0</v>
      </c>
      <c r="M319">
        <f t="shared" si="63"/>
        <v>0</v>
      </c>
      <c r="N319">
        <f t="shared" si="64"/>
        <v>0</v>
      </c>
      <c r="O319">
        <f t="shared" si="65"/>
        <v>0</v>
      </c>
      <c r="P319">
        <f t="shared" si="55"/>
        <v>0</v>
      </c>
      <c r="Q319">
        <f t="shared" si="56"/>
        <v>0</v>
      </c>
      <c r="R319">
        <f t="shared" si="57"/>
        <v>0</v>
      </c>
    </row>
    <row r="320" spans="1:18">
      <c r="A320" s="1">
        <v>39987</v>
      </c>
      <c r="B320" t="s">
        <v>0</v>
      </c>
      <c r="C320">
        <v>2</v>
      </c>
      <c r="D320" s="2">
        <v>0.83333333333333337</v>
      </c>
      <c r="E320" s="2">
        <v>0.86458333333333337</v>
      </c>
      <c r="F320" s="34">
        <f t="shared" si="58"/>
        <v>3</v>
      </c>
      <c r="I320">
        <f t="shared" si="59"/>
        <v>3</v>
      </c>
      <c r="J320">
        <f t="shared" si="60"/>
        <v>0</v>
      </c>
      <c r="K320">
        <f t="shared" si="61"/>
        <v>0</v>
      </c>
      <c r="L320">
        <f t="shared" si="62"/>
        <v>0</v>
      </c>
      <c r="M320">
        <f t="shared" si="63"/>
        <v>0</v>
      </c>
      <c r="N320">
        <f t="shared" si="64"/>
        <v>0</v>
      </c>
      <c r="O320">
        <f t="shared" si="65"/>
        <v>0</v>
      </c>
      <c r="P320">
        <f t="shared" si="55"/>
        <v>0</v>
      </c>
      <c r="Q320">
        <f t="shared" si="56"/>
        <v>0</v>
      </c>
      <c r="R320">
        <f t="shared" si="57"/>
        <v>0</v>
      </c>
    </row>
    <row r="321" spans="1:18">
      <c r="A321" s="1">
        <v>39986</v>
      </c>
      <c r="B321" t="s">
        <v>7</v>
      </c>
      <c r="C321">
        <v>8</v>
      </c>
      <c r="D321" s="2">
        <v>0.79166666666666663</v>
      </c>
      <c r="E321" s="2">
        <v>0.83333333333333337</v>
      </c>
      <c r="F321" s="34">
        <f>C321*(E321-D321)*2*24</f>
        <v>16.000000000000028</v>
      </c>
      <c r="I321">
        <f t="shared" si="59"/>
        <v>0</v>
      </c>
      <c r="J321">
        <f t="shared" si="60"/>
        <v>16.000000000000028</v>
      </c>
      <c r="K321">
        <f t="shared" si="61"/>
        <v>0</v>
      </c>
      <c r="L321">
        <f t="shared" si="62"/>
        <v>0</v>
      </c>
      <c r="M321">
        <f t="shared" si="63"/>
        <v>0</v>
      </c>
      <c r="N321">
        <f t="shared" si="64"/>
        <v>0</v>
      </c>
      <c r="O321">
        <f t="shared" si="65"/>
        <v>0</v>
      </c>
      <c r="P321">
        <f t="shared" si="55"/>
        <v>0</v>
      </c>
      <c r="Q321">
        <f t="shared" si="56"/>
        <v>0</v>
      </c>
      <c r="R321">
        <f t="shared" si="57"/>
        <v>0</v>
      </c>
    </row>
    <row r="322" spans="1:18">
      <c r="A322" s="1">
        <v>39986</v>
      </c>
      <c r="B322" t="s">
        <v>0</v>
      </c>
      <c r="C322">
        <v>2</v>
      </c>
      <c r="D322" s="2">
        <v>0.75</v>
      </c>
      <c r="E322" s="2">
        <v>0.77083333333333337</v>
      </c>
      <c r="F322" s="34">
        <f t="shared" si="58"/>
        <v>2.0000000000000036</v>
      </c>
      <c r="I322">
        <f t="shared" si="59"/>
        <v>2.0000000000000036</v>
      </c>
      <c r="J322">
        <f t="shared" si="60"/>
        <v>0</v>
      </c>
      <c r="K322">
        <f t="shared" si="61"/>
        <v>0</v>
      </c>
      <c r="L322">
        <f t="shared" si="62"/>
        <v>0</v>
      </c>
      <c r="M322">
        <f t="shared" si="63"/>
        <v>0</v>
      </c>
      <c r="N322">
        <f t="shared" si="64"/>
        <v>0</v>
      </c>
      <c r="O322">
        <f t="shared" si="65"/>
        <v>0</v>
      </c>
      <c r="P322">
        <f t="shared" si="55"/>
        <v>0</v>
      </c>
      <c r="Q322">
        <f t="shared" si="56"/>
        <v>0</v>
      </c>
      <c r="R322">
        <f t="shared" si="57"/>
        <v>0</v>
      </c>
    </row>
    <row r="323" spans="1:18">
      <c r="A323" s="1">
        <v>39983</v>
      </c>
      <c r="B323" t="s">
        <v>0</v>
      </c>
      <c r="C323">
        <v>2</v>
      </c>
      <c r="D323" s="2">
        <v>0.78125</v>
      </c>
      <c r="E323" s="2">
        <v>0.8125</v>
      </c>
      <c r="F323" s="34">
        <f t="shared" si="58"/>
        <v>3</v>
      </c>
      <c r="I323">
        <f t="shared" si="59"/>
        <v>3</v>
      </c>
      <c r="J323">
        <f t="shared" si="60"/>
        <v>0</v>
      </c>
      <c r="K323">
        <f t="shared" si="61"/>
        <v>0</v>
      </c>
      <c r="L323">
        <f t="shared" si="62"/>
        <v>0</v>
      </c>
      <c r="M323">
        <f t="shared" si="63"/>
        <v>0</v>
      </c>
      <c r="N323">
        <f t="shared" si="64"/>
        <v>0</v>
      </c>
      <c r="O323">
        <f t="shared" si="65"/>
        <v>0</v>
      </c>
      <c r="P323">
        <f t="shared" si="55"/>
        <v>0</v>
      </c>
      <c r="Q323">
        <f t="shared" si="56"/>
        <v>0</v>
      </c>
      <c r="R323">
        <f t="shared" si="57"/>
        <v>0</v>
      </c>
    </row>
    <row r="324" spans="1:18">
      <c r="A324" s="1">
        <v>39982</v>
      </c>
      <c r="B324" t="s">
        <v>7</v>
      </c>
      <c r="C324">
        <v>4</v>
      </c>
      <c r="D324" s="2">
        <v>0.75</v>
      </c>
      <c r="E324" s="2">
        <v>0.79166666666666663</v>
      </c>
      <c r="F324" s="34">
        <f t="shared" si="58"/>
        <v>7.9999999999999929</v>
      </c>
      <c r="I324">
        <f t="shared" si="59"/>
        <v>0</v>
      </c>
      <c r="J324">
        <f t="shared" si="60"/>
        <v>7.9999999999999929</v>
      </c>
      <c r="K324">
        <f t="shared" si="61"/>
        <v>0</v>
      </c>
      <c r="L324">
        <f t="shared" si="62"/>
        <v>0</v>
      </c>
      <c r="M324">
        <f t="shared" si="63"/>
        <v>0</v>
      </c>
      <c r="N324">
        <f t="shared" si="64"/>
        <v>0</v>
      </c>
      <c r="O324">
        <f t="shared" si="65"/>
        <v>0</v>
      </c>
      <c r="P324">
        <f t="shared" si="55"/>
        <v>0</v>
      </c>
      <c r="Q324">
        <f t="shared" si="56"/>
        <v>0</v>
      </c>
      <c r="R324">
        <f t="shared" si="57"/>
        <v>0</v>
      </c>
    </row>
    <row r="325" spans="1:18">
      <c r="A325" s="1">
        <v>39981</v>
      </c>
      <c r="B325" t="s">
        <v>7</v>
      </c>
      <c r="C325">
        <v>8</v>
      </c>
      <c r="D325" s="2">
        <v>0.77083333333333337</v>
      </c>
      <c r="E325" s="2">
        <v>0.8125</v>
      </c>
      <c r="F325" s="34">
        <f t="shared" si="58"/>
        <v>15.999999999999986</v>
      </c>
      <c r="I325">
        <f t="shared" si="59"/>
        <v>0</v>
      </c>
      <c r="J325">
        <f t="shared" si="60"/>
        <v>15.999999999999986</v>
      </c>
      <c r="K325">
        <f t="shared" si="61"/>
        <v>0</v>
      </c>
      <c r="L325">
        <f t="shared" si="62"/>
        <v>0</v>
      </c>
      <c r="M325">
        <f t="shared" si="63"/>
        <v>0</v>
      </c>
      <c r="N325">
        <f t="shared" si="64"/>
        <v>0</v>
      </c>
      <c r="O325">
        <f t="shared" si="65"/>
        <v>0</v>
      </c>
      <c r="P325">
        <f t="shared" si="55"/>
        <v>0</v>
      </c>
      <c r="Q325">
        <f t="shared" si="56"/>
        <v>0</v>
      </c>
      <c r="R325">
        <f t="shared" si="57"/>
        <v>0</v>
      </c>
    </row>
    <row r="326" spans="1:18">
      <c r="A326" s="1">
        <v>39980</v>
      </c>
      <c r="B326" t="s">
        <v>0</v>
      </c>
      <c r="C326">
        <v>4</v>
      </c>
      <c r="D326" s="2">
        <v>0.75</v>
      </c>
      <c r="E326" s="2">
        <v>0.78125</v>
      </c>
      <c r="F326" s="34">
        <f t="shared" si="58"/>
        <v>6</v>
      </c>
      <c r="I326">
        <f t="shared" si="59"/>
        <v>6</v>
      </c>
      <c r="J326">
        <f t="shared" si="60"/>
        <v>0</v>
      </c>
      <c r="K326">
        <f t="shared" si="61"/>
        <v>0</v>
      </c>
      <c r="L326">
        <f t="shared" si="62"/>
        <v>0</v>
      </c>
      <c r="M326">
        <f t="shared" si="63"/>
        <v>0</v>
      </c>
      <c r="N326">
        <f t="shared" si="64"/>
        <v>0</v>
      </c>
      <c r="O326">
        <f t="shared" si="65"/>
        <v>0</v>
      </c>
      <c r="P326">
        <f t="shared" si="55"/>
        <v>0</v>
      </c>
      <c r="Q326">
        <f t="shared" si="56"/>
        <v>0</v>
      </c>
      <c r="R326">
        <f t="shared" si="57"/>
        <v>0</v>
      </c>
    </row>
    <row r="327" spans="1:18">
      <c r="A327" s="1">
        <v>39980</v>
      </c>
      <c r="B327" t="s">
        <v>9</v>
      </c>
      <c r="C327">
        <v>6</v>
      </c>
      <c r="D327" s="2">
        <v>0.77083333333333337</v>
      </c>
      <c r="E327" s="2">
        <v>0.79166666666666663</v>
      </c>
      <c r="F327" s="34">
        <f t="shared" si="58"/>
        <v>5.9999999999999787</v>
      </c>
      <c r="I327">
        <f t="shared" si="59"/>
        <v>0</v>
      </c>
      <c r="J327">
        <f t="shared" si="60"/>
        <v>0</v>
      </c>
      <c r="K327">
        <f t="shared" si="61"/>
        <v>0</v>
      </c>
      <c r="L327">
        <f t="shared" si="62"/>
        <v>0</v>
      </c>
      <c r="M327">
        <f t="shared" si="63"/>
        <v>5.9999999999999787</v>
      </c>
      <c r="N327">
        <f t="shared" si="64"/>
        <v>0</v>
      </c>
      <c r="O327">
        <f t="shared" si="65"/>
        <v>0</v>
      </c>
      <c r="P327">
        <f t="shared" si="55"/>
        <v>0</v>
      </c>
      <c r="Q327">
        <f t="shared" si="56"/>
        <v>0</v>
      </c>
      <c r="R327">
        <f t="shared" si="57"/>
        <v>0</v>
      </c>
    </row>
    <row r="328" spans="1:18">
      <c r="A328" s="1">
        <v>39976</v>
      </c>
      <c r="B328" t="s">
        <v>0</v>
      </c>
      <c r="C328">
        <v>2</v>
      </c>
      <c r="D328" s="2">
        <v>0.79166666666666663</v>
      </c>
      <c r="E328" s="2">
        <v>0.8125</v>
      </c>
      <c r="F328" s="34">
        <f t="shared" si="58"/>
        <v>2.0000000000000036</v>
      </c>
      <c r="I328">
        <f t="shared" si="59"/>
        <v>2.0000000000000036</v>
      </c>
      <c r="J328">
        <f t="shared" si="60"/>
        <v>0</v>
      </c>
      <c r="K328">
        <f t="shared" si="61"/>
        <v>0</v>
      </c>
      <c r="L328">
        <f t="shared" si="62"/>
        <v>0</v>
      </c>
      <c r="M328">
        <f t="shared" si="63"/>
        <v>0</v>
      </c>
      <c r="N328">
        <f t="shared" si="64"/>
        <v>0</v>
      </c>
      <c r="O328">
        <f t="shared" si="65"/>
        <v>0</v>
      </c>
      <c r="P328">
        <f t="shared" si="55"/>
        <v>0</v>
      </c>
      <c r="Q328">
        <f t="shared" si="56"/>
        <v>0</v>
      </c>
      <c r="R328">
        <f t="shared" si="57"/>
        <v>0</v>
      </c>
    </row>
    <row r="329" spans="1:18">
      <c r="A329" s="1">
        <v>39975</v>
      </c>
      <c r="B329" t="s">
        <v>9</v>
      </c>
      <c r="C329">
        <v>8</v>
      </c>
      <c r="D329" s="2">
        <v>0.79166666666666663</v>
      </c>
      <c r="E329" s="2">
        <v>0.8125</v>
      </c>
      <c r="F329" s="34">
        <f t="shared" si="58"/>
        <v>8.0000000000000142</v>
      </c>
      <c r="I329">
        <f t="shared" si="59"/>
        <v>0</v>
      </c>
      <c r="J329">
        <f t="shared" si="60"/>
        <v>0</v>
      </c>
      <c r="K329">
        <f t="shared" si="61"/>
        <v>0</v>
      </c>
      <c r="L329">
        <f t="shared" si="62"/>
        <v>0</v>
      </c>
      <c r="M329">
        <f t="shared" si="63"/>
        <v>8.0000000000000142</v>
      </c>
      <c r="N329">
        <f t="shared" si="64"/>
        <v>0</v>
      </c>
      <c r="O329">
        <f t="shared" si="65"/>
        <v>0</v>
      </c>
      <c r="P329">
        <f t="shared" si="55"/>
        <v>0</v>
      </c>
      <c r="Q329">
        <f t="shared" si="56"/>
        <v>0</v>
      </c>
      <c r="R329">
        <f t="shared" si="57"/>
        <v>0</v>
      </c>
    </row>
    <row r="330" spans="1:18">
      <c r="A330" s="1">
        <v>39975</v>
      </c>
      <c r="B330" t="s">
        <v>7</v>
      </c>
      <c r="C330">
        <v>2</v>
      </c>
      <c r="D330" s="2">
        <v>0.75</v>
      </c>
      <c r="E330" s="2">
        <v>0.79166666666666663</v>
      </c>
      <c r="F330" s="34">
        <f t="shared" si="58"/>
        <v>3.9999999999999964</v>
      </c>
      <c r="I330">
        <f t="shared" si="59"/>
        <v>0</v>
      </c>
      <c r="J330">
        <f t="shared" si="60"/>
        <v>3.9999999999999964</v>
      </c>
      <c r="K330">
        <f t="shared" si="61"/>
        <v>0</v>
      </c>
      <c r="L330">
        <f t="shared" si="62"/>
        <v>0</v>
      </c>
      <c r="M330">
        <f t="shared" si="63"/>
        <v>0</v>
      </c>
      <c r="N330">
        <f t="shared" si="64"/>
        <v>0</v>
      </c>
      <c r="O330">
        <f t="shared" si="65"/>
        <v>0</v>
      </c>
      <c r="P330">
        <f t="shared" si="55"/>
        <v>0</v>
      </c>
      <c r="Q330">
        <f t="shared" si="56"/>
        <v>0</v>
      </c>
      <c r="R330">
        <f t="shared" si="57"/>
        <v>0</v>
      </c>
    </row>
    <row r="331" spans="1:18">
      <c r="A331" s="1">
        <v>39975</v>
      </c>
      <c r="B331" t="s">
        <v>0</v>
      </c>
      <c r="C331">
        <v>3</v>
      </c>
      <c r="D331" s="2">
        <v>0.75</v>
      </c>
      <c r="E331" s="2">
        <v>0.79166666666666663</v>
      </c>
      <c r="F331" s="34">
        <f t="shared" si="58"/>
        <v>5.9999999999999947</v>
      </c>
      <c r="I331">
        <f t="shared" si="59"/>
        <v>5.9999999999999947</v>
      </c>
      <c r="J331">
        <f t="shared" si="60"/>
        <v>0</v>
      </c>
      <c r="K331">
        <f t="shared" si="61"/>
        <v>0</v>
      </c>
      <c r="L331">
        <f t="shared" si="62"/>
        <v>0</v>
      </c>
      <c r="M331">
        <f t="shared" si="63"/>
        <v>0</v>
      </c>
      <c r="N331">
        <f t="shared" si="64"/>
        <v>0</v>
      </c>
      <c r="O331">
        <f t="shared" si="65"/>
        <v>0</v>
      </c>
      <c r="P331">
        <f t="shared" si="55"/>
        <v>0</v>
      </c>
      <c r="Q331">
        <f t="shared" si="56"/>
        <v>0</v>
      </c>
      <c r="R331">
        <f t="shared" si="57"/>
        <v>0</v>
      </c>
    </row>
    <row r="332" spans="1:18">
      <c r="A332" s="1">
        <v>39973</v>
      </c>
      <c r="B332" t="s">
        <v>0</v>
      </c>
      <c r="C332">
        <v>8</v>
      </c>
      <c r="D332" s="2">
        <v>0.78125</v>
      </c>
      <c r="E332" s="2">
        <v>0.8125</v>
      </c>
      <c r="F332" s="34">
        <f t="shared" si="58"/>
        <v>12</v>
      </c>
      <c r="I332">
        <f t="shared" si="59"/>
        <v>12</v>
      </c>
      <c r="J332">
        <f t="shared" si="60"/>
        <v>0</v>
      </c>
      <c r="K332">
        <f t="shared" si="61"/>
        <v>0</v>
      </c>
      <c r="L332">
        <f t="shared" si="62"/>
        <v>0</v>
      </c>
      <c r="M332">
        <f t="shared" si="63"/>
        <v>0</v>
      </c>
      <c r="N332">
        <f t="shared" si="64"/>
        <v>0</v>
      </c>
      <c r="O332">
        <f t="shared" si="65"/>
        <v>0</v>
      </c>
      <c r="P332">
        <f t="shared" si="55"/>
        <v>0</v>
      </c>
      <c r="Q332">
        <f t="shared" si="56"/>
        <v>0</v>
      </c>
      <c r="R332">
        <f t="shared" si="57"/>
        <v>0</v>
      </c>
    </row>
    <row r="333" spans="1:18">
      <c r="A333" s="1">
        <v>39973</v>
      </c>
      <c r="B333" t="s">
        <v>0</v>
      </c>
      <c r="C333">
        <v>2</v>
      </c>
      <c r="D333" s="2">
        <v>0.83333333333333337</v>
      </c>
      <c r="E333" s="2">
        <v>0.86458333333333337</v>
      </c>
      <c r="F333" s="34">
        <f t="shared" si="58"/>
        <v>3</v>
      </c>
      <c r="I333">
        <f t="shared" si="59"/>
        <v>3</v>
      </c>
      <c r="J333">
        <f t="shared" si="60"/>
        <v>0</v>
      </c>
      <c r="K333">
        <f t="shared" si="61"/>
        <v>0</v>
      </c>
      <c r="L333">
        <f t="shared" si="62"/>
        <v>0</v>
      </c>
      <c r="M333">
        <f t="shared" si="63"/>
        <v>0</v>
      </c>
      <c r="N333">
        <f t="shared" si="64"/>
        <v>0</v>
      </c>
      <c r="O333">
        <f t="shared" si="65"/>
        <v>0</v>
      </c>
      <c r="P333">
        <f t="shared" ref="P333:Q335" si="66">IF(($B333=I$1),($F333),(0))</f>
        <v>0</v>
      </c>
      <c r="Q333">
        <f t="shared" si="66"/>
        <v>0</v>
      </c>
      <c r="R333">
        <f>IF(($B333=K$1),($F333),(0))</f>
        <v>0</v>
      </c>
    </row>
    <row r="334" spans="1:18">
      <c r="A334" s="1">
        <v>39972</v>
      </c>
      <c r="B334" t="s">
        <v>0</v>
      </c>
      <c r="C334">
        <v>4</v>
      </c>
      <c r="D334" s="2">
        <v>0.75</v>
      </c>
      <c r="E334" s="2">
        <v>0.78125</v>
      </c>
      <c r="F334" s="34">
        <f t="shared" si="58"/>
        <v>6</v>
      </c>
      <c r="I334">
        <f t="shared" si="59"/>
        <v>6</v>
      </c>
      <c r="J334">
        <f t="shared" si="60"/>
        <v>0</v>
      </c>
      <c r="K334">
        <f t="shared" si="61"/>
        <v>0</v>
      </c>
      <c r="L334">
        <f t="shared" si="62"/>
        <v>0</v>
      </c>
      <c r="M334">
        <f t="shared" si="63"/>
        <v>0</v>
      </c>
      <c r="N334">
        <f t="shared" si="64"/>
        <v>0</v>
      </c>
      <c r="O334">
        <f t="shared" si="65"/>
        <v>0</v>
      </c>
      <c r="P334">
        <f t="shared" si="66"/>
        <v>0</v>
      </c>
      <c r="Q334">
        <f t="shared" si="66"/>
        <v>0</v>
      </c>
      <c r="R334">
        <f>IF(($B334=K$1),($F334),(0))</f>
        <v>0</v>
      </c>
    </row>
    <row r="335" spans="1:18">
      <c r="A335" s="1">
        <v>39972</v>
      </c>
      <c r="B335" t="s">
        <v>7</v>
      </c>
      <c r="C335">
        <v>2</v>
      </c>
      <c r="D335" s="2">
        <v>0.79166666666666663</v>
      </c>
      <c r="E335" s="2">
        <v>0.83333333333333337</v>
      </c>
      <c r="F335" s="34">
        <f t="shared" si="58"/>
        <v>4.0000000000000071</v>
      </c>
      <c r="I335">
        <f t="shared" si="59"/>
        <v>0</v>
      </c>
      <c r="J335">
        <f t="shared" si="60"/>
        <v>4.0000000000000071</v>
      </c>
      <c r="K335">
        <f t="shared" si="61"/>
        <v>0</v>
      </c>
      <c r="L335">
        <f t="shared" si="62"/>
        <v>0</v>
      </c>
      <c r="M335">
        <f t="shared" si="63"/>
        <v>0</v>
      </c>
      <c r="N335">
        <f t="shared" si="64"/>
        <v>0</v>
      </c>
      <c r="O335">
        <f t="shared" si="65"/>
        <v>0</v>
      </c>
      <c r="P335">
        <f t="shared" si="66"/>
        <v>0</v>
      </c>
      <c r="Q335">
        <f t="shared" si="66"/>
        <v>0</v>
      </c>
      <c r="R335">
        <f>IF(($B335=K$1),($F335),(0))</f>
        <v>0</v>
      </c>
    </row>
  </sheetData>
  <phoneticPr fontId="0" type="noConversion"/>
  <pageMargins left="0.75" right="0.75" top="1" bottom="1" header="0.5" footer="0.5"/>
  <pageSetup paperSize="9" orientation="portrait" horizontalDpi="4294967293"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18"/>
  </sheetPr>
  <dimension ref="A1:S82"/>
  <sheetViews>
    <sheetView topLeftCell="I1" workbookViewId="0">
      <selection activeCell="O5" sqref="O5"/>
    </sheetView>
  </sheetViews>
  <sheetFormatPr defaultRowHeight="12.75"/>
  <cols>
    <col min="1" max="1" width="20.42578125" customWidth="1"/>
    <col min="2" max="2" width="10.5703125" bestFit="1" customWidth="1"/>
    <col min="3" max="3" width="15.140625" bestFit="1" customWidth="1"/>
    <col min="4" max="4" width="11.28515625" bestFit="1" customWidth="1"/>
    <col min="5" max="5" width="20.5703125" bestFit="1" customWidth="1"/>
    <col min="6" max="6" width="2.5703125" customWidth="1"/>
    <col min="7" max="7" width="27.85546875" customWidth="1"/>
    <col min="8" max="8" width="10.28515625" bestFit="1" customWidth="1"/>
    <col min="9" max="9" width="15.140625" bestFit="1" customWidth="1"/>
    <col min="10" max="10" width="2.5703125" customWidth="1"/>
    <col min="11" max="11" width="27.5703125" customWidth="1"/>
    <col min="12" max="12" width="9.7109375" bestFit="1" customWidth="1"/>
    <col min="13" max="13" width="15.140625" customWidth="1"/>
    <col min="14" max="14" width="2.5703125" customWidth="1"/>
    <col min="15" max="15" width="26.140625" customWidth="1"/>
    <col min="16" max="16" width="9.7109375" bestFit="1" customWidth="1"/>
    <col min="17" max="17" width="15.140625" bestFit="1" customWidth="1"/>
    <col min="18" max="18" width="11.28515625" bestFit="1" customWidth="1"/>
    <col min="19" max="19" width="20.5703125" bestFit="1" customWidth="1"/>
  </cols>
  <sheetData>
    <row r="1" spans="1:19">
      <c r="A1" s="32" t="s">
        <v>85</v>
      </c>
      <c r="G1" s="112" t="s">
        <v>86</v>
      </c>
    </row>
    <row r="2" spans="1:19">
      <c r="A2" s="26" t="s">
        <v>77</v>
      </c>
      <c r="B2" s="27" t="s">
        <v>79</v>
      </c>
      <c r="C2" s="26" t="s">
        <v>81</v>
      </c>
      <c r="D2" s="26" t="s">
        <v>82</v>
      </c>
      <c r="E2" s="26" t="s">
        <v>83</v>
      </c>
      <c r="F2" s="7"/>
      <c r="G2" s="113" t="s">
        <v>19</v>
      </c>
      <c r="H2" s="30">
        <v>6650</v>
      </c>
    </row>
    <row r="3" spans="1:19">
      <c r="A3" s="28" t="s">
        <v>13</v>
      </c>
      <c r="B3" s="23">
        <f>SUM(B14:B64)+SUM(E14:E64)</f>
        <v>900</v>
      </c>
      <c r="C3" s="23">
        <f>SUM(H14:H81)</f>
        <v>940</v>
      </c>
      <c r="D3" s="23">
        <f>SUM(L14:L70)</f>
        <v>1140</v>
      </c>
      <c r="E3" s="29">
        <f>SUM(P14:P67)+SUM(S14:S67)</f>
        <v>1060</v>
      </c>
      <c r="F3" s="7"/>
      <c r="G3" s="114" t="s">
        <v>78</v>
      </c>
      <c r="H3" s="31">
        <v>6650</v>
      </c>
    </row>
    <row r="4" spans="1:19">
      <c r="A4" s="28" t="s">
        <v>78</v>
      </c>
      <c r="B4" s="23">
        <v>801</v>
      </c>
      <c r="C4" s="7">
        <v>895</v>
      </c>
      <c r="D4" s="7">
        <v>1122</v>
      </c>
      <c r="E4" s="24"/>
      <c r="F4" s="7"/>
      <c r="G4" s="115" t="s">
        <v>87</v>
      </c>
      <c r="H4" s="106">
        <v>39779</v>
      </c>
    </row>
    <row r="5" spans="1:19">
      <c r="A5" s="28" t="s">
        <v>551</v>
      </c>
      <c r="B5" s="23">
        <v>900</v>
      </c>
      <c r="C5" s="7">
        <v>1120</v>
      </c>
      <c r="D5" s="7">
        <v>1080</v>
      </c>
      <c r="E5" s="24"/>
      <c r="F5" s="7"/>
      <c r="G5" s="147"/>
      <c r="H5" s="148"/>
    </row>
    <row r="6" spans="1:19">
      <c r="A6" s="28" t="s">
        <v>552</v>
      </c>
      <c r="B6" s="23">
        <f>B3-B5</f>
        <v>0</v>
      </c>
      <c r="C6" s="149">
        <f>C3-C5</f>
        <v>-180</v>
      </c>
      <c r="D6" s="149">
        <f>D3-D5</f>
        <v>60</v>
      </c>
      <c r="E6" s="150">
        <f>E3-E5</f>
        <v>1060</v>
      </c>
      <c r="F6" s="7"/>
      <c r="G6" s="147"/>
      <c r="H6" s="148"/>
    </row>
    <row r="7" spans="1:19">
      <c r="A7" s="28" t="s">
        <v>553</v>
      </c>
      <c r="B7" s="149">
        <f>B4-B5</f>
        <v>-99</v>
      </c>
      <c r="C7" s="149">
        <f>C4-C5</f>
        <v>-225</v>
      </c>
      <c r="D7" s="149">
        <f>D4-D5</f>
        <v>42</v>
      </c>
      <c r="E7" s="150">
        <f>E4-E5</f>
        <v>0</v>
      </c>
      <c r="F7" s="7"/>
      <c r="G7" s="147"/>
      <c r="H7" s="148"/>
    </row>
    <row r="8" spans="1:19">
      <c r="A8" s="4" t="s">
        <v>84</v>
      </c>
      <c r="B8" s="89"/>
      <c r="C8" s="89">
        <v>39882</v>
      </c>
      <c r="D8" s="89">
        <v>39946</v>
      </c>
      <c r="E8" s="5"/>
      <c r="F8" s="7"/>
      <c r="G8" s="116"/>
    </row>
    <row r="9" spans="1:19">
      <c r="G9" s="116"/>
    </row>
    <row r="10" spans="1:19">
      <c r="G10" s="116" t="s">
        <v>253</v>
      </c>
      <c r="H10">
        <v>20</v>
      </c>
    </row>
    <row r="11" spans="1:19">
      <c r="A11" s="18" t="s">
        <v>76</v>
      </c>
      <c r="C11" s="20"/>
      <c r="G11" s="116" t="s">
        <v>81</v>
      </c>
      <c r="K11" t="s">
        <v>82</v>
      </c>
      <c r="O11" t="s">
        <v>83</v>
      </c>
    </row>
    <row r="12" spans="1:19">
      <c r="G12" s="116"/>
    </row>
    <row r="13" spans="1:19" ht="13.5" thickBot="1">
      <c r="A13" s="14" t="s">
        <v>18</v>
      </c>
      <c r="B13" t="s">
        <v>19</v>
      </c>
      <c r="C13" t="s">
        <v>20</v>
      </c>
      <c r="D13" t="s">
        <v>21</v>
      </c>
      <c r="E13" t="s">
        <v>80</v>
      </c>
      <c r="G13" s="116" t="s">
        <v>18</v>
      </c>
      <c r="H13" t="s">
        <v>19</v>
      </c>
      <c r="I13" t="s">
        <v>20</v>
      </c>
      <c r="K13" s="14" t="s">
        <v>18</v>
      </c>
      <c r="L13" t="s">
        <v>19</v>
      </c>
      <c r="M13" t="s">
        <v>20</v>
      </c>
      <c r="O13" s="14" t="s">
        <v>18</v>
      </c>
      <c r="P13" t="s">
        <v>19</v>
      </c>
      <c r="Q13" t="s">
        <v>20</v>
      </c>
      <c r="R13" t="s">
        <v>21</v>
      </c>
      <c r="S13" t="s">
        <v>80</v>
      </c>
    </row>
    <row r="14" spans="1:19" ht="13.5" thickTop="1">
      <c r="A14" s="15" t="s">
        <v>22</v>
      </c>
      <c r="B14" s="20">
        <f>IF(D14="yes",0,IF(C14="senior",18,IF(C14="novice",9,0)))</f>
        <v>18</v>
      </c>
      <c r="C14" t="s">
        <v>23</v>
      </c>
      <c r="E14" s="22">
        <f>(IF(D14="yes",IF(C14="senior",18,9),0))</f>
        <v>0</v>
      </c>
      <c r="F14" s="107"/>
      <c r="G14" s="117" t="s">
        <v>42</v>
      </c>
      <c r="H14" s="20">
        <f>IF(J14="yes",0,IF(I14="senior",$H$10,IF(I14="novice",$H$10/2,0)))</f>
        <v>20</v>
      </c>
      <c r="I14" t="s">
        <v>23</v>
      </c>
      <c r="J14" s="157"/>
      <c r="K14" s="154"/>
      <c r="L14" s="20">
        <f t="shared" ref="L14:L70" si="0">IF(N14="yes",0,IF(M14="senior",$H$10,IF(M14="novice",$H$10/2,0)))</f>
        <v>20</v>
      </c>
      <c r="M14" t="s">
        <v>23</v>
      </c>
      <c r="N14" s="157"/>
      <c r="O14" s="154"/>
      <c r="P14" s="20">
        <f t="shared" ref="P14:P67" si="1">IF(R14="yes",0,IF(Q14="senior",$H$10,IF(Q14="novice",$H$10/2,0)))</f>
        <v>20</v>
      </c>
      <c r="Q14" t="s">
        <v>23</v>
      </c>
      <c r="S14" s="22">
        <f>(IF(R14="yes",IF(Q14="senior",$H$10,$H$10/2),0))</f>
        <v>0</v>
      </c>
    </row>
    <row r="15" spans="1:19">
      <c r="A15" s="16" t="s">
        <v>24</v>
      </c>
      <c r="B15" s="20">
        <f t="shared" ref="B15:B64" si="2">IF(D15="yes",0,IF(C15="senior",18,IF(C15="novice",9,0)))</f>
        <v>18</v>
      </c>
      <c r="C15" t="s">
        <v>23</v>
      </c>
      <c r="E15" s="22">
        <f t="shared" ref="E15:E64" si="3">(IF(D15="yes",IF(C15="senior",18,9),0))</f>
        <v>0</v>
      </c>
      <c r="F15" s="107"/>
      <c r="G15" s="118" t="s">
        <v>24</v>
      </c>
      <c r="H15" s="20">
        <f t="shared" ref="H15:H78" si="4">IF(J15="yes",0,IF(I15="senior",$H$10,IF(I15="novice",$H$10/2,0)))</f>
        <v>20</v>
      </c>
      <c r="I15" t="s">
        <v>23</v>
      </c>
      <c r="J15" s="158"/>
      <c r="K15" s="155"/>
      <c r="L15" s="20">
        <f t="shared" si="0"/>
        <v>20</v>
      </c>
      <c r="M15" t="s">
        <v>23</v>
      </c>
      <c r="N15" s="158"/>
      <c r="O15" s="155"/>
      <c r="P15" s="20">
        <f t="shared" si="1"/>
        <v>0</v>
      </c>
      <c r="Q15" t="s">
        <v>23</v>
      </c>
      <c r="R15" t="s">
        <v>232</v>
      </c>
      <c r="S15" s="22">
        <f t="shared" ref="S15:S67" si="5">(IF(R15="yes",IF(Q15="senior",$H$10,$H$10/2),0))</f>
        <v>20</v>
      </c>
    </row>
    <row r="16" spans="1:19">
      <c r="A16" s="16" t="s">
        <v>25</v>
      </c>
      <c r="B16" s="20">
        <f t="shared" si="2"/>
        <v>18</v>
      </c>
      <c r="C16" t="s">
        <v>23</v>
      </c>
      <c r="E16" s="22">
        <f t="shared" si="3"/>
        <v>0</v>
      </c>
      <c r="F16" s="107"/>
      <c r="G16" s="118" t="s">
        <v>30</v>
      </c>
      <c r="H16" s="20">
        <f t="shared" si="4"/>
        <v>20</v>
      </c>
      <c r="I16" t="s">
        <v>23</v>
      </c>
      <c r="J16" s="159"/>
      <c r="K16" s="155"/>
      <c r="L16" s="20">
        <f t="shared" si="0"/>
        <v>20</v>
      </c>
      <c r="M16" t="s">
        <v>23</v>
      </c>
      <c r="N16" s="159"/>
      <c r="O16" s="155"/>
      <c r="P16" s="20">
        <f t="shared" si="1"/>
        <v>20</v>
      </c>
      <c r="Q16" t="s">
        <v>23</v>
      </c>
      <c r="S16" s="22">
        <f t="shared" si="5"/>
        <v>0</v>
      </c>
    </row>
    <row r="17" spans="1:19">
      <c r="A17" s="16" t="s">
        <v>26</v>
      </c>
      <c r="B17" s="20">
        <f t="shared" si="2"/>
        <v>18</v>
      </c>
      <c r="C17" t="s">
        <v>23</v>
      </c>
      <c r="E17" s="22">
        <f t="shared" si="3"/>
        <v>0</v>
      </c>
      <c r="F17" s="107"/>
      <c r="G17" s="118" t="s">
        <v>43</v>
      </c>
      <c r="H17" s="20">
        <f t="shared" si="4"/>
        <v>20</v>
      </c>
      <c r="I17" t="s">
        <v>23</v>
      </c>
      <c r="J17" s="159"/>
      <c r="K17" s="155"/>
      <c r="L17" s="20">
        <f t="shared" si="0"/>
        <v>20</v>
      </c>
      <c r="M17" t="s">
        <v>23</v>
      </c>
      <c r="N17" s="159"/>
      <c r="O17" s="155"/>
      <c r="P17" s="20">
        <f t="shared" si="1"/>
        <v>0</v>
      </c>
      <c r="Q17" t="s">
        <v>23</v>
      </c>
      <c r="R17" t="s">
        <v>232</v>
      </c>
      <c r="S17" s="22">
        <f t="shared" si="5"/>
        <v>20</v>
      </c>
    </row>
    <row r="18" spans="1:19">
      <c r="A18" s="16" t="s">
        <v>27</v>
      </c>
      <c r="B18" s="20">
        <f t="shared" si="2"/>
        <v>18</v>
      </c>
      <c r="C18" t="s">
        <v>23</v>
      </c>
      <c r="E18" s="22">
        <f t="shared" si="3"/>
        <v>0</v>
      </c>
      <c r="F18" s="107"/>
      <c r="G18" s="118" t="s">
        <v>27</v>
      </c>
      <c r="H18" s="20">
        <f t="shared" si="4"/>
        <v>20</v>
      </c>
      <c r="I18" t="s">
        <v>23</v>
      </c>
      <c r="J18" s="159"/>
      <c r="K18" s="155"/>
      <c r="L18" s="20">
        <f t="shared" si="0"/>
        <v>20</v>
      </c>
      <c r="M18" t="s">
        <v>23</v>
      </c>
      <c r="N18" s="159"/>
      <c r="O18" s="155"/>
      <c r="P18" s="20">
        <f t="shared" si="1"/>
        <v>20</v>
      </c>
      <c r="Q18" t="s">
        <v>23</v>
      </c>
      <c r="S18" s="22">
        <f t="shared" si="5"/>
        <v>0</v>
      </c>
    </row>
    <row r="19" spans="1:19">
      <c r="A19" s="16" t="s">
        <v>28</v>
      </c>
      <c r="B19" s="20">
        <f t="shared" si="2"/>
        <v>0</v>
      </c>
      <c r="C19" t="s">
        <v>23</v>
      </c>
      <c r="D19" t="s">
        <v>29</v>
      </c>
      <c r="E19" s="22">
        <f t="shared" si="3"/>
        <v>18</v>
      </c>
      <c r="F19" s="107"/>
      <c r="G19" s="118" t="s">
        <v>26</v>
      </c>
      <c r="H19" s="20">
        <f t="shared" si="4"/>
        <v>20</v>
      </c>
      <c r="I19" t="s">
        <v>23</v>
      </c>
      <c r="J19" s="159"/>
      <c r="K19" s="155"/>
      <c r="L19" s="20">
        <f t="shared" si="0"/>
        <v>20</v>
      </c>
      <c r="M19" t="s">
        <v>23</v>
      </c>
      <c r="N19" s="159"/>
      <c r="O19" s="155"/>
      <c r="P19" s="20">
        <f t="shared" si="1"/>
        <v>20</v>
      </c>
      <c r="Q19" t="s">
        <v>23</v>
      </c>
      <c r="S19" s="22">
        <f t="shared" si="5"/>
        <v>0</v>
      </c>
    </row>
    <row r="20" spans="1:19">
      <c r="A20" s="16" t="s">
        <v>30</v>
      </c>
      <c r="B20" s="20">
        <f t="shared" si="2"/>
        <v>18</v>
      </c>
      <c r="C20" t="s">
        <v>23</v>
      </c>
      <c r="E20" s="22">
        <f t="shared" si="3"/>
        <v>0</v>
      </c>
      <c r="F20" s="107"/>
      <c r="G20" s="118" t="s">
        <v>48</v>
      </c>
      <c r="H20" s="20">
        <f t="shared" si="4"/>
        <v>20</v>
      </c>
      <c r="I20" t="s">
        <v>23</v>
      </c>
      <c r="J20" s="159"/>
      <c r="K20" s="155"/>
      <c r="L20" s="20">
        <f t="shared" si="0"/>
        <v>20</v>
      </c>
      <c r="M20" t="s">
        <v>23</v>
      </c>
      <c r="N20" s="159"/>
      <c r="O20" s="155"/>
      <c r="P20" s="20">
        <f t="shared" si="1"/>
        <v>0</v>
      </c>
      <c r="Q20" t="s">
        <v>23</v>
      </c>
      <c r="R20" t="s">
        <v>232</v>
      </c>
      <c r="S20" s="22">
        <f t="shared" si="5"/>
        <v>20</v>
      </c>
    </row>
    <row r="21" spans="1:19">
      <c r="A21" s="16" t="s">
        <v>31</v>
      </c>
      <c r="B21" s="20">
        <f t="shared" si="2"/>
        <v>18</v>
      </c>
      <c r="C21" t="s">
        <v>23</v>
      </c>
      <c r="E21" s="22">
        <f t="shared" si="3"/>
        <v>0</v>
      </c>
      <c r="F21" s="107"/>
      <c r="G21" s="118" t="s">
        <v>45</v>
      </c>
      <c r="H21" s="20">
        <f t="shared" si="4"/>
        <v>20</v>
      </c>
      <c r="I21" t="s">
        <v>23</v>
      </c>
      <c r="J21" s="159"/>
      <c r="K21" s="155"/>
      <c r="L21" s="20">
        <f t="shared" si="0"/>
        <v>20</v>
      </c>
      <c r="M21" t="s">
        <v>23</v>
      </c>
      <c r="N21" s="159"/>
      <c r="O21" s="155"/>
      <c r="P21" s="20">
        <f t="shared" si="1"/>
        <v>0</v>
      </c>
      <c r="Q21" t="s">
        <v>23</v>
      </c>
      <c r="R21" t="s">
        <v>232</v>
      </c>
      <c r="S21" s="22">
        <f t="shared" si="5"/>
        <v>20</v>
      </c>
    </row>
    <row r="22" spans="1:19" ht="13.5" thickBot="1">
      <c r="A22" s="17" t="s">
        <v>32</v>
      </c>
      <c r="B22" s="20">
        <f t="shared" si="2"/>
        <v>0</v>
      </c>
      <c r="C22" t="s">
        <v>23</v>
      </c>
      <c r="D22" t="s">
        <v>29</v>
      </c>
      <c r="E22" s="22">
        <f t="shared" si="3"/>
        <v>18</v>
      </c>
      <c r="F22" s="107"/>
      <c r="G22" s="118" t="s">
        <v>44</v>
      </c>
      <c r="H22" s="20">
        <f t="shared" si="4"/>
        <v>20</v>
      </c>
      <c r="I22" t="s">
        <v>23</v>
      </c>
      <c r="J22" s="158"/>
      <c r="K22" s="156"/>
      <c r="L22" s="20">
        <f t="shared" si="0"/>
        <v>20</v>
      </c>
      <c r="M22" t="s">
        <v>23</v>
      </c>
      <c r="N22" s="158"/>
      <c r="O22" s="155"/>
      <c r="P22" s="20">
        <f t="shared" si="1"/>
        <v>0</v>
      </c>
      <c r="Q22" t="s">
        <v>23</v>
      </c>
      <c r="R22" t="s">
        <v>232</v>
      </c>
      <c r="S22" s="22">
        <f t="shared" si="5"/>
        <v>20</v>
      </c>
    </row>
    <row r="23" spans="1:19" ht="14.25" thickTop="1" thickBot="1">
      <c r="A23" s="15" t="s">
        <v>33</v>
      </c>
      <c r="B23" s="20">
        <f t="shared" si="2"/>
        <v>18</v>
      </c>
      <c r="C23" t="s">
        <v>23</v>
      </c>
      <c r="E23" s="22">
        <f t="shared" si="3"/>
        <v>0</v>
      </c>
      <c r="F23" s="107"/>
      <c r="G23" s="119" t="s">
        <v>293</v>
      </c>
      <c r="H23" s="20">
        <f t="shared" si="4"/>
        <v>20</v>
      </c>
      <c r="I23" t="s">
        <v>23</v>
      </c>
      <c r="J23" s="157"/>
      <c r="K23" s="154"/>
      <c r="L23" s="20">
        <f t="shared" si="0"/>
        <v>20</v>
      </c>
      <c r="M23" t="s">
        <v>23</v>
      </c>
      <c r="N23" s="158"/>
      <c r="O23" s="154"/>
      <c r="P23" s="20">
        <f t="shared" si="1"/>
        <v>20</v>
      </c>
      <c r="Q23" t="s">
        <v>23</v>
      </c>
      <c r="S23" s="22">
        <f t="shared" si="5"/>
        <v>0</v>
      </c>
    </row>
    <row r="24" spans="1:19" ht="13.5" thickTop="1">
      <c r="A24" s="16" t="s">
        <v>34</v>
      </c>
      <c r="B24" s="20">
        <f t="shared" si="2"/>
        <v>18</v>
      </c>
      <c r="C24" t="s">
        <v>23</v>
      </c>
      <c r="E24" s="22">
        <f t="shared" si="3"/>
        <v>0</v>
      </c>
      <c r="F24" s="107"/>
      <c r="G24" s="117" t="s">
        <v>51</v>
      </c>
      <c r="H24" s="20">
        <f t="shared" si="4"/>
        <v>20</v>
      </c>
      <c r="I24" t="s">
        <v>23</v>
      </c>
      <c r="J24" s="158"/>
      <c r="K24" s="155"/>
      <c r="L24" s="20">
        <f t="shared" si="0"/>
        <v>20</v>
      </c>
      <c r="M24" t="s">
        <v>23</v>
      </c>
      <c r="N24" s="157"/>
      <c r="O24" s="155"/>
      <c r="P24" s="20">
        <f t="shared" si="1"/>
        <v>20</v>
      </c>
      <c r="Q24" t="s">
        <v>23</v>
      </c>
      <c r="S24" s="22">
        <f t="shared" si="5"/>
        <v>0</v>
      </c>
    </row>
    <row r="25" spans="1:19">
      <c r="A25" s="16" t="s">
        <v>35</v>
      </c>
      <c r="B25" s="20">
        <f t="shared" si="2"/>
        <v>18</v>
      </c>
      <c r="C25" t="s">
        <v>23</v>
      </c>
      <c r="E25" s="22">
        <f t="shared" si="3"/>
        <v>0</v>
      </c>
      <c r="F25" s="107"/>
      <c r="G25" s="118" t="s">
        <v>40</v>
      </c>
      <c r="H25" s="20">
        <f t="shared" si="4"/>
        <v>20</v>
      </c>
      <c r="I25" t="s">
        <v>23</v>
      </c>
      <c r="J25" s="159"/>
      <c r="K25" s="155"/>
      <c r="L25" s="20">
        <f t="shared" si="0"/>
        <v>20</v>
      </c>
      <c r="M25" t="s">
        <v>23</v>
      </c>
      <c r="N25" s="158"/>
      <c r="O25" s="155"/>
      <c r="P25" s="20">
        <f t="shared" si="1"/>
        <v>20</v>
      </c>
      <c r="Q25" t="s">
        <v>23</v>
      </c>
      <c r="S25" s="22">
        <f t="shared" si="5"/>
        <v>0</v>
      </c>
    </row>
    <row r="26" spans="1:19">
      <c r="A26" s="16" t="s">
        <v>36</v>
      </c>
      <c r="B26" s="20">
        <f t="shared" si="2"/>
        <v>18</v>
      </c>
      <c r="C26" t="s">
        <v>23</v>
      </c>
      <c r="E26" s="22">
        <f t="shared" si="3"/>
        <v>0</v>
      </c>
      <c r="F26" s="107"/>
      <c r="G26" s="118" t="s">
        <v>265</v>
      </c>
      <c r="H26" s="20">
        <f t="shared" si="4"/>
        <v>20</v>
      </c>
      <c r="I26" t="s">
        <v>23</v>
      </c>
      <c r="J26" s="159"/>
      <c r="K26" s="155"/>
      <c r="L26" s="20">
        <f t="shared" si="0"/>
        <v>20</v>
      </c>
      <c r="M26" t="s">
        <v>23</v>
      </c>
      <c r="N26" s="159"/>
      <c r="O26" s="155"/>
      <c r="P26" s="20">
        <f t="shared" si="1"/>
        <v>20</v>
      </c>
      <c r="Q26" t="s">
        <v>23</v>
      </c>
      <c r="S26" s="22">
        <f t="shared" si="5"/>
        <v>0</v>
      </c>
    </row>
    <row r="27" spans="1:19">
      <c r="A27" s="16" t="s">
        <v>37</v>
      </c>
      <c r="B27" s="20">
        <f t="shared" si="2"/>
        <v>18</v>
      </c>
      <c r="C27" t="s">
        <v>23</v>
      </c>
      <c r="E27" s="22">
        <f t="shared" si="3"/>
        <v>0</v>
      </c>
      <c r="F27" s="107"/>
      <c r="G27" s="118" t="s">
        <v>36</v>
      </c>
      <c r="H27" s="20">
        <f t="shared" si="4"/>
        <v>20</v>
      </c>
      <c r="I27" t="s">
        <v>23</v>
      </c>
      <c r="J27" s="159"/>
      <c r="K27" s="155"/>
      <c r="L27" s="20">
        <f t="shared" si="0"/>
        <v>20</v>
      </c>
      <c r="M27" t="s">
        <v>23</v>
      </c>
      <c r="N27" s="159"/>
      <c r="O27" s="155"/>
      <c r="P27" s="20">
        <f t="shared" si="1"/>
        <v>20</v>
      </c>
      <c r="Q27" t="s">
        <v>23</v>
      </c>
      <c r="S27" s="22">
        <f t="shared" si="5"/>
        <v>0</v>
      </c>
    </row>
    <row r="28" spans="1:19">
      <c r="A28" s="16" t="s">
        <v>38</v>
      </c>
      <c r="B28" s="20">
        <f t="shared" si="2"/>
        <v>18</v>
      </c>
      <c r="C28" t="s">
        <v>23</v>
      </c>
      <c r="E28" s="22">
        <f t="shared" si="3"/>
        <v>0</v>
      </c>
      <c r="F28" s="107"/>
      <c r="G28" s="118" t="s">
        <v>37</v>
      </c>
      <c r="H28" s="20">
        <f t="shared" si="4"/>
        <v>20</v>
      </c>
      <c r="I28" t="s">
        <v>23</v>
      </c>
      <c r="J28" s="159"/>
      <c r="K28" s="155"/>
      <c r="L28" s="20">
        <f t="shared" si="0"/>
        <v>20</v>
      </c>
      <c r="M28" t="s">
        <v>23</v>
      </c>
      <c r="N28" s="159"/>
      <c r="O28" s="155"/>
      <c r="P28" s="20">
        <f t="shared" si="1"/>
        <v>0</v>
      </c>
      <c r="Q28" t="s">
        <v>23</v>
      </c>
      <c r="R28" t="s">
        <v>232</v>
      </c>
      <c r="S28" s="22">
        <f t="shared" si="5"/>
        <v>20</v>
      </c>
    </row>
    <row r="29" spans="1:19">
      <c r="A29" s="16" t="s">
        <v>39</v>
      </c>
      <c r="B29" s="20">
        <f t="shared" si="2"/>
        <v>0</v>
      </c>
      <c r="C29" t="s">
        <v>23</v>
      </c>
      <c r="D29" t="s">
        <v>29</v>
      </c>
      <c r="E29" s="22">
        <f t="shared" si="3"/>
        <v>18</v>
      </c>
      <c r="F29" s="107"/>
      <c r="G29" s="118" t="s">
        <v>57</v>
      </c>
      <c r="H29" s="20">
        <f t="shared" si="4"/>
        <v>20</v>
      </c>
      <c r="I29" t="s">
        <v>23</v>
      </c>
      <c r="J29" s="159"/>
      <c r="K29" s="155"/>
      <c r="L29" s="20">
        <f t="shared" si="0"/>
        <v>20</v>
      </c>
      <c r="M29" t="s">
        <v>23</v>
      </c>
      <c r="N29" s="159"/>
      <c r="O29" s="155"/>
      <c r="P29" s="20">
        <f t="shared" si="1"/>
        <v>20</v>
      </c>
      <c r="Q29" t="s">
        <v>23</v>
      </c>
      <c r="S29" s="22">
        <f t="shared" si="5"/>
        <v>0</v>
      </c>
    </row>
    <row r="30" spans="1:19">
      <c r="A30" s="16" t="s">
        <v>40</v>
      </c>
      <c r="B30" s="20">
        <f t="shared" si="2"/>
        <v>18</v>
      </c>
      <c r="C30" t="s">
        <v>23</v>
      </c>
      <c r="E30" s="22">
        <f t="shared" si="3"/>
        <v>0</v>
      </c>
      <c r="F30" s="107"/>
      <c r="G30" s="118" t="s">
        <v>55</v>
      </c>
      <c r="H30" s="20">
        <f t="shared" si="4"/>
        <v>20</v>
      </c>
      <c r="I30" t="s">
        <v>23</v>
      </c>
      <c r="J30" s="159"/>
      <c r="K30" s="155"/>
      <c r="L30" s="20">
        <f t="shared" si="0"/>
        <v>20</v>
      </c>
      <c r="M30" t="s">
        <v>23</v>
      </c>
      <c r="N30" s="159"/>
      <c r="O30" s="155"/>
      <c r="P30" s="20">
        <f t="shared" si="1"/>
        <v>20</v>
      </c>
      <c r="Q30" t="s">
        <v>23</v>
      </c>
      <c r="S30" s="22">
        <f t="shared" si="5"/>
        <v>0</v>
      </c>
    </row>
    <row r="31" spans="1:19" ht="13.5" thickBot="1">
      <c r="A31" s="17" t="s">
        <v>41</v>
      </c>
      <c r="B31" s="20">
        <f t="shared" si="2"/>
        <v>18</v>
      </c>
      <c r="C31" t="s">
        <v>23</v>
      </c>
      <c r="E31" s="22">
        <f t="shared" si="3"/>
        <v>0</v>
      </c>
      <c r="F31" s="107"/>
      <c r="G31" s="118" t="s">
        <v>38</v>
      </c>
      <c r="H31" s="20">
        <f t="shared" si="4"/>
        <v>20</v>
      </c>
      <c r="I31" t="s">
        <v>23</v>
      </c>
      <c r="J31" s="158"/>
      <c r="K31" s="156"/>
      <c r="L31" s="20">
        <f t="shared" si="0"/>
        <v>20</v>
      </c>
      <c r="M31" t="s">
        <v>23</v>
      </c>
      <c r="N31" s="159"/>
      <c r="O31" s="156"/>
      <c r="P31" s="20">
        <f t="shared" si="1"/>
        <v>20</v>
      </c>
      <c r="Q31" t="s">
        <v>23</v>
      </c>
      <c r="S31" s="22">
        <f t="shared" si="5"/>
        <v>0</v>
      </c>
    </row>
    <row r="32" spans="1:19" ht="14.25" thickTop="1" thickBot="1">
      <c r="A32" s="15" t="s">
        <v>42</v>
      </c>
      <c r="B32" s="20">
        <f t="shared" si="2"/>
        <v>18</v>
      </c>
      <c r="C32" t="s">
        <v>23</v>
      </c>
      <c r="E32" s="22">
        <f t="shared" si="3"/>
        <v>0</v>
      </c>
      <c r="F32" s="107"/>
      <c r="G32" s="120" t="s">
        <v>52</v>
      </c>
      <c r="H32" s="20">
        <f>IF(K32="yes",0,IF(I32="senior",$H$10,IF(I32="novice",$H$10/2,0)))</f>
        <v>20</v>
      </c>
      <c r="I32" t="s">
        <v>23</v>
      </c>
      <c r="J32" s="160"/>
      <c r="K32" s="154"/>
      <c r="L32" s="20">
        <f t="shared" si="0"/>
        <v>20</v>
      </c>
      <c r="M32" t="s">
        <v>23</v>
      </c>
      <c r="N32" s="158"/>
      <c r="O32" s="154"/>
      <c r="P32" s="20">
        <f t="shared" si="1"/>
        <v>20</v>
      </c>
      <c r="Q32" t="s">
        <v>23</v>
      </c>
      <c r="S32" s="22">
        <f t="shared" si="5"/>
        <v>0</v>
      </c>
    </row>
    <row r="33" spans="1:19" ht="13.5" thickTop="1">
      <c r="A33" s="16" t="s">
        <v>43</v>
      </c>
      <c r="B33" s="20">
        <f t="shared" si="2"/>
        <v>18</v>
      </c>
      <c r="C33" t="s">
        <v>23</v>
      </c>
      <c r="E33" s="22">
        <f t="shared" si="3"/>
        <v>0</v>
      </c>
      <c r="F33" s="107"/>
      <c r="G33" s="117" t="s">
        <v>311</v>
      </c>
      <c r="H33" s="20">
        <f t="shared" si="4"/>
        <v>10</v>
      </c>
      <c r="I33" t="s">
        <v>72</v>
      </c>
      <c r="J33" s="158"/>
      <c r="K33" s="155"/>
      <c r="L33" s="20">
        <f t="shared" si="0"/>
        <v>20</v>
      </c>
      <c r="M33" t="s">
        <v>23</v>
      </c>
      <c r="N33" s="157"/>
      <c r="O33" s="155"/>
      <c r="P33" s="20">
        <f t="shared" si="1"/>
        <v>20</v>
      </c>
      <c r="Q33" t="s">
        <v>23</v>
      </c>
      <c r="S33" s="22">
        <f t="shared" si="5"/>
        <v>0</v>
      </c>
    </row>
    <row r="34" spans="1:19">
      <c r="A34" s="16" t="s">
        <v>44</v>
      </c>
      <c r="B34" s="20">
        <f t="shared" si="2"/>
        <v>18</v>
      </c>
      <c r="C34" t="s">
        <v>23</v>
      </c>
      <c r="E34" s="22">
        <f t="shared" si="3"/>
        <v>0</v>
      </c>
      <c r="F34" s="107"/>
      <c r="G34" s="118" t="s">
        <v>274</v>
      </c>
      <c r="H34" s="20">
        <f t="shared" si="4"/>
        <v>10</v>
      </c>
      <c r="I34" t="s">
        <v>72</v>
      </c>
      <c r="J34" s="159"/>
      <c r="K34" s="155"/>
      <c r="L34" s="20">
        <f t="shared" si="0"/>
        <v>20</v>
      </c>
      <c r="M34" t="s">
        <v>23</v>
      </c>
      <c r="N34" s="158"/>
      <c r="O34" s="155"/>
      <c r="P34" s="20">
        <f t="shared" si="1"/>
        <v>20</v>
      </c>
      <c r="Q34" t="s">
        <v>23</v>
      </c>
      <c r="S34" s="22">
        <f t="shared" si="5"/>
        <v>0</v>
      </c>
    </row>
    <row r="35" spans="1:19">
      <c r="A35" s="16" t="s">
        <v>45</v>
      </c>
      <c r="B35" s="20">
        <f t="shared" si="2"/>
        <v>18</v>
      </c>
      <c r="C35" t="s">
        <v>23</v>
      </c>
      <c r="E35" s="22">
        <f t="shared" si="3"/>
        <v>0</v>
      </c>
      <c r="F35" s="107"/>
      <c r="G35" s="118" t="s">
        <v>275</v>
      </c>
      <c r="H35" s="20">
        <f t="shared" si="4"/>
        <v>10</v>
      </c>
      <c r="I35" t="s">
        <v>72</v>
      </c>
      <c r="J35" s="159"/>
      <c r="K35" s="155"/>
      <c r="L35" s="20">
        <f t="shared" si="0"/>
        <v>20</v>
      </c>
      <c r="M35" t="s">
        <v>23</v>
      </c>
      <c r="N35" s="159"/>
      <c r="O35" s="155"/>
      <c r="P35" s="20">
        <f t="shared" si="1"/>
        <v>20</v>
      </c>
      <c r="Q35" t="s">
        <v>23</v>
      </c>
      <c r="S35" s="22">
        <f t="shared" si="5"/>
        <v>0</v>
      </c>
    </row>
    <row r="36" spans="1:19">
      <c r="A36" s="16" t="s">
        <v>46</v>
      </c>
      <c r="B36" s="20">
        <f t="shared" si="2"/>
        <v>18</v>
      </c>
      <c r="C36" t="s">
        <v>23</v>
      </c>
      <c r="E36" s="22">
        <f t="shared" si="3"/>
        <v>0</v>
      </c>
      <c r="F36" s="107"/>
      <c r="G36" s="118" t="s">
        <v>276</v>
      </c>
      <c r="H36" s="20">
        <f t="shared" si="4"/>
        <v>10</v>
      </c>
      <c r="I36" t="s">
        <v>72</v>
      </c>
      <c r="J36" s="159"/>
      <c r="K36" s="155"/>
      <c r="L36" s="20">
        <f t="shared" si="0"/>
        <v>20</v>
      </c>
      <c r="M36" t="s">
        <v>23</v>
      </c>
      <c r="N36" s="159"/>
      <c r="O36" s="155"/>
      <c r="P36" s="20">
        <f t="shared" si="1"/>
        <v>20</v>
      </c>
      <c r="Q36" t="s">
        <v>23</v>
      </c>
      <c r="S36" s="22">
        <f t="shared" si="5"/>
        <v>0</v>
      </c>
    </row>
    <row r="37" spans="1:19">
      <c r="A37" s="16" t="s">
        <v>47</v>
      </c>
      <c r="B37" s="20">
        <f t="shared" si="2"/>
        <v>18</v>
      </c>
      <c r="C37" t="s">
        <v>23</v>
      </c>
      <c r="E37" s="22">
        <f t="shared" si="3"/>
        <v>0</v>
      </c>
      <c r="F37" s="107"/>
      <c r="G37" s="118" t="s">
        <v>309</v>
      </c>
      <c r="H37" s="20">
        <f t="shared" si="4"/>
        <v>10</v>
      </c>
      <c r="I37" t="s">
        <v>72</v>
      </c>
      <c r="J37" s="159"/>
      <c r="K37" s="155"/>
      <c r="L37" s="20">
        <f t="shared" si="0"/>
        <v>20</v>
      </c>
      <c r="M37" t="s">
        <v>23</v>
      </c>
      <c r="N37" s="159"/>
      <c r="O37" s="155"/>
      <c r="P37" s="20">
        <f t="shared" si="1"/>
        <v>20</v>
      </c>
      <c r="Q37" t="s">
        <v>23</v>
      </c>
      <c r="S37" s="22">
        <f t="shared" si="5"/>
        <v>0</v>
      </c>
    </row>
    <row r="38" spans="1:19">
      <c r="A38" s="16" t="s">
        <v>48</v>
      </c>
      <c r="B38" s="20">
        <f t="shared" si="2"/>
        <v>18</v>
      </c>
      <c r="C38" t="s">
        <v>23</v>
      </c>
      <c r="E38" s="22">
        <f t="shared" si="3"/>
        <v>0</v>
      </c>
      <c r="F38" s="107"/>
      <c r="G38" s="118" t="s">
        <v>312</v>
      </c>
      <c r="H38" s="20">
        <f t="shared" si="4"/>
        <v>10</v>
      </c>
      <c r="I38" t="s">
        <v>72</v>
      </c>
      <c r="J38" s="159"/>
      <c r="K38" s="155"/>
      <c r="L38" s="20">
        <f t="shared" si="0"/>
        <v>20</v>
      </c>
      <c r="M38" t="s">
        <v>23</v>
      </c>
      <c r="N38" s="159"/>
      <c r="O38" s="155"/>
      <c r="P38" s="20">
        <f t="shared" si="1"/>
        <v>20</v>
      </c>
      <c r="Q38" t="s">
        <v>23</v>
      </c>
      <c r="S38" s="22">
        <f t="shared" si="5"/>
        <v>0</v>
      </c>
    </row>
    <row r="39" spans="1:19">
      <c r="A39" s="16" t="s">
        <v>49</v>
      </c>
      <c r="B39" s="20">
        <f t="shared" si="2"/>
        <v>18</v>
      </c>
      <c r="C39" t="s">
        <v>23</v>
      </c>
      <c r="E39" s="22">
        <f t="shared" si="3"/>
        <v>0</v>
      </c>
      <c r="F39" s="107"/>
      <c r="G39" s="118" t="s">
        <v>283</v>
      </c>
      <c r="H39" s="20">
        <f t="shared" si="4"/>
        <v>10</v>
      </c>
      <c r="I39" t="s">
        <v>72</v>
      </c>
      <c r="J39" s="159"/>
      <c r="K39" s="155"/>
      <c r="L39" s="20">
        <f t="shared" si="0"/>
        <v>20</v>
      </c>
      <c r="M39" t="s">
        <v>23</v>
      </c>
      <c r="N39" s="159"/>
      <c r="O39" s="155"/>
      <c r="P39" s="20">
        <f t="shared" si="1"/>
        <v>20</v>
      </c>
      <c r="Q39" t="s">
        <v>23</v>
      </c>
      <c r="S39" s="22">
        <f t="shared" si="5"/>
        <v>0</v>
      </c>
    </row>
    <row r="40" spans="1:19" ht="13.5" thickBot="1">
      <c r="A40" s="17" t="s">
        <v>50</v>
      </c>
      <c r="B40" s="20">
        <f t="shared" si="2"/>
        <v>18</v>
      </c>
      <c r="C40" t="s">
        <v>23</v>
      </c>
      <c r="E40" s="22">
        <f t="shared" si="3"/>
        <v>0</v>
      </c>
      <c r="F40" s="107"/>
      <c r="G40" s="118" t="s">
        <v>277</v>
      </c>
      <c r="H40" s="20">
        <f t="shared" si="4"/>
        <v>10</v>
      </c>
      <c r="I40" t="s">
        <v>72</v>
      </c>
      <c r="J40" s="158"/>
      <c r="K40" s="156"/>
      <c r="L40" s="20">
        <f t="shared" si="0"/>
        <v>20</v>
      </c>
      <c r="M40" t="s">
        <v>23</v>
      </c>
      <c r="N40" s="159"/>
      <c r="O40" s="155"/>
      <c r="P40" s="20">
        <f t="shared" si="1"/>
        <v>20</v>
      </c>
      <c r="Q40" t="s">
        <v>23</v>
      </c>
      <c r="S40" s="22">
        <f t="shared" si="5"/>
        <v>0</v>
      </c>
    </row>
    <row r="41" spans="1:19" ht="14.25" thickTop="1" thickBot="1">
      <c r="A41" s="15" t="s">
        <v>51</v>
      </c>
      <c r="B41" s="20">
        <f t="shared" si="2"/>
        <v>18</v>
      </c>
      <c r="C41" t="s">
        <v>23</v>
      </c>
      <c r="E41" s="22">
        <f t="shared" si="3"/>
        <v>0</v>
      </c>
      <c r="F41" s="107"/>
      <c r="G41" s="120" t="s">
        <v>313</v>
      </c>
      <c r="H41" s="20">
        <f t="shared" si="4"/>
        <v>10</v>
      </c>
      <c r="I41" t="s">
        <v>72</v>
      </c>
      <c r="J41" s="157"/>
      <c r="K41" s="154"/>
      <c r="L41" s="20">
        <f t="shared" si="0"/>
        <v>20</v>
      </c>
      <c r="M41" t="s">
        <v>23</v>
      </c>
      <c r="N41" s="158"/>
      <c r="O41" s="154"/>
      <c r="P41" s="20">
        <f t="shared" si="1"/>
        <v>0</v>
      </c>
      <c r="Q41" t="s">
        <v>23</v>
      </c>
      <c r="R41" t="s">
        <v>232</v>
      </c>
      <c r="S41" s="22">
        <f t="shared" si="5"/>
        <v>20</v>
      </c>
    </row>
    <row r="42" spans="1:19" ht="13.5" thickTop="1">
      <c r="A42" s="16" t="s">
        <v>52</v>
      </c>
      <c r="B42" s="20">
        <f t="shared" si="2"/>
        <v>18</v>
      </c>
      <c r="C42" t="s">
        <v>23</v>
      </c>
      <c r="E42" s="22">
        <f t="shared" si="3"/>
        <v>0</v>
      </c>
      <c r="F42" s="107"/>
      <c r="G42" s="117" t="s">
        <v>314</v>
      </c>
      <c r="H42" s="20">
        <f t="shared" si="4"/>
        <v>10</v>
      </c>
      <c r="I42" t="s">
        <v>72</v>
      </c>
      <c r="J42" s="158"/>
      <c r="K42" s="155"/>
      <c r="L42" s="20">
        <f t="shared" si="0"/>
        <v>20</v>
      </c>
      <c r="M42" t="s">
        <v>23</v>
      </c>
      <c r="N42" s="157"/>
      <c r="O42" s="155"/>
      <c r="P42" s="20">
        <f t="shared" si="1"/>
        <v>0</v>
      </c>
      <c r="Q42" t="s">
        <v>23</v>
      </c>
      <c r="R42" t="s">
        <v>232</v>
      </c>
      <c r="S42" s="22">
        <f t="shared" si="5"/>
        <v>20</v>
      </c>
    </row>
    <row r="43" spans="1:19">
      <c r="A43" s="16" t="s">
        <v>53</v>
      </c>
      <c r="B43" s="20">
        <f t="shared" si="2"/>
        <v>18</v>
      </c>
      <c r="C43" t="s">
        <v>23</v>
      </c>
      <c r="E43" s="22">
        <f t="shared" si="3"/>
        <v>0</v>
      </c>
      <c r="F43" s="107"/>
      <c r="G43" s="118" t="s">
        <v>285</v>
      </c>
      <c r="H43" s="20">
        <f t="shared" si="4"/>
        <v>10</v>
      </c>
      <c r="I43" t="s">
        <v>72</v>
      </c>
      <c r="J43" s="159"/>
      <c r="K43" s="155"/>
      <c r="L43" s="20">
        <f t="shared" si="0"/>
        <v>20</v>
      </c>
      <c r="M43" t="s">
        <v>23</v>
      </c>
      <c r="N43" s="158"/>
      <c r="O43" s="155"/>
      <c r="P43" s="20">
        <f t="shared" si="1"/>
        <v>0</v>
      </c>
      <c r="Q43" t="s">
        <v>23</v>
      </c>
      <c r="R43" t="s">
        <v>232</v>
      </c>
      <c r="S43" s="22">
        <f t="shared" si="5"/>
        <v>20</v>
      </c>
    </row>
    <row r="44" spans="1:19">
      <c r="A44" s="16" t="s">
        <v>54</v>
      </c>
      <c r="B44" s="20">
        <f t="shared" si="2"/>
        <v>18</v>
      </c>
      <c r="C44" t="s">
        <v>23</v>
      </c>
      <c r="E44" s="22">
        <f t="shared" si="3"/>
        <v>0</v>
      </c>
      <c r="F44" s="107"/>
      <c r="G44" s="118" t="s">
        <v>286</v>
      </c>
      <c r="H44" s="20">
        <f t="shared" si="4"/>
        <v>10</v>
      </c>
      <c r="I44" t="s">
        <v>72</v>
      </c>
      <c r="J44" s="159"/>
      <c r="K44" s="155"/>
      <c r="L44" s="20">
        <f t="shared" si="0"/>
        <v>20</v>
      </c>
      <c r="M44" t="s">
        <v>23</v>
      </c>
      <c r="N44" s="159"/>
      <c r="O44" s="155"/>
      <c r="P44" s="20">
        <f t="shared" si="1"/>
        <v>10</v>
      </c>
      <c r="Q44" t="s">
        <v>72</v>
      </c>
      <c r="S44" s="22">
        <f t="shared" si="5"/>
        <v>0</v>
      </c>
    </row>
    <row r="45" spans="1:19">
      <c r="A45" s="16" t="s">
        <v>55</v>
      </c>
      <c r="B45" s="20">
        <f>IF(D45="yes",0,IF(C45="senior",18,IF(C45="novice",9,0)))</f>
        <v>18</v>
      </c>
      <c r="C45" t="s">
        <v>23</v>
      </c>
      <c r="E45" s="22">
        <f t="shared" si="3"/>
        <v>0</v>
      </c>
      <c r="F45" s="107"/>
      <c r="G45" s="118" t="s">
        <v>315</v>
      </c>
      <c r="H45" s="20">
        <f t="shared" si="4"/>
        <v>10</v>
      </c>
      <c r="I45" t="s">
        <v>72</v>
      </c>
      <c r="J45" s="159"/>
      <c r="K45" s="155"/>
      <c r="L45" s="20">
        <f t="shared" si="0"/>
        <v>20</v>
      </c>
      <c r="M45" t="s">
        <v>23</v>
      </c>
      <c r="N45" s="159"/>
      <c r="O45" s="155"/>
      <c r="P45" s="20">
        <f t="shared" si="1"/>
        <v>20</v>
      </c>
      <c r="Q45" t="s">
        <v>23</v>
      </c>
      <c r="S45" s="22">
        <f t="shared" si="5"/>
        <v>0</v>
      </c>
    </row>
    <row r="46" spans="1:19">
      <c r="A46" s="16" t="s">
        <v>56</v>
      </c>
      <c r="B46" s="20">
        <f t="shared" si="2"/>
        <v>18</v>
      </c>
      <c r="C46" t="s">
        <v>23</v>
      </c>
      <c r="E46" s="22">
        <f t="shared" si="3"/>
        <v>0</v>
      </c>
      <c r="F46" s="107"/>
      <c r="G46" s="118" t="s">
        <v>288</v>
      </c>
      <c r="H46" s="20">
        <f t="shared" si="4"/>
        <v>10</v>
      </c>
      <c r="I46" t="s">
        <v>72</v>
      </c>
      <c r="J46" s="159"/>
      <c r="K46" s="155"/>
      <c r="L46" s="20">
        <f t="shared" si="0"/>
        <v>20</v>
      </c>
      <c r="M46" t="s">
        <v>23</v>
      </c>
      <c r="N46" s="159"/>
      <c r="O46" s="155"/>
      <c r="P46" s="20">
        <f t="shared" si="1"/>
        <v>20</v>
      </c>
      <c r="Q46" t="s">
        <v>23</v>
      </c>
      <c r="S46" s="22">
        <f t="shared" si="5"/>
        <v>0</v>
      </c>
    </row>
    <row r="47" spans="1:19">
      <c r="A47" s="16" t="s">
        <v>57</v>
      </c>
      <c r="B47" s="20">
        <f t="shared" si="2"/>
        <v>18</v>
      </c>
      <c r="C47" t="s">
        <v>23</v>
      </c>
      <c r="E47" s="22">
        <f t="shared" si="3"/>
        <v>0</v>
      </c>
      <c r="F47" s="107"/>
      <c r="G47" s="118" t="s">
        <v>289</v>
      </c>
      <c r="H47" s="20">
        <f t="shared" si="4"/>
        <v>10</v>
      </c>
      <c r="I47" t="s">
        <v>72</v>
      </c>
      <c r="J47" s="159"/>
      <c r="K47" s="155"/>
      <c r="L47" s="20">
        <f t="shared" si="0"/>
        <v>20</v>
      </c>
      <c r="M47" t="s">
        <v>23</v>
      </c>
      <c r="N47" s="159"/>
      <c r="O47" s="155"/>
      <c r="P47" s="20">
        <f t="shared" si="1"/>
        <v>20</v>
      </c>
      <c r="Q47" t="s">
        <v>23</v>
      </c>
      <c r="S47" s="22">
        <f t="shared" si="5"/>
        <v>0</v>
      </c>
    </row>
    <row r="48" spans="1:19">
      <c r="A48" s="16" t="s">
        <v>58</v>
      </c>
      <c r="B48" s="20">
        <f t="shared" si="2"/>
        <v>18</v>
      </c>
      <c r="C48" t="s">
        <v>23</v>
      </c>
      <c r="E48" s="22">
        <f t="shared" si="3"/>
        <v>0</v>
      </c>
      <c r="F48" s="107"/>
      <c r="G48" s="118" t="s">
        <v>290</v>
      </c>
      <c r="H48" s="20">
        <f t="shared" si="4"/>
        <v>10</v>
      </c>
      <c r="I48" t="s">
        <v>72</v>
      </c>
      <c r="J48" s="159"/>
      <c r="K48" s="155"/>
      <c r="L48" s="20">
        <f t="shared" si="0"/>
        <v>20</v>
      </c>
      <c r="M48" t="s">
        <v>23</v>
      </c>
      <c r="N48" s="159"/>
      <c r="O48" s="155"/>
      <c r="P48" s="20">
        <f t="shared" si="1"/>
        <v>10</v>
      </c>
      <c r="Q48" t="s">
        <v>72</v>
      </c>
      <c r="S48" s="22">
        <f t="shared" si="5"/>
        <v>0</v>
      </c>
    </row>
    <row r="49" spans="1:19" ht="13.5" thickBot="1">
      <c r="A49" s="16" t="s">
        <v>59</v>
      </c>
      <c r="B49" s="20">
        <f t="shared" si="2"/>
        <v>18</v>
      </c>
      <c r="C49" t="s">
        <v>23</v>
      </c>
      <c r="E49" s="22">
        <f t="shared" si="3"/>
        <v>0</v>
      </c>
      <c r="F49" s="107"/>
      <c r="G49" s="118" t="s">
        <v>291</v>
      </c>
      <c r="H49" s="20">
        <f t="shared" si="4"/>
        <v>10</v>
      </c>
      <c r="I49" t="s">
        <v>72</v>
      </c>
      <c r="J49" s="158"/>
      <c r="K49" s="156"/>
      <c r="L49" s="20">
        <f t="shared" si="0"/>
        <v>20</v>
      </c>
      <c r="M49" t="s">
        <v>23</v>
      </c>
      <c r="N49" s="159"/>
      <c r="O49" s="156"/>
      <c r="P49" s="20">
        <f t="shared" si="1"/>
        <v>0</v>
      </c>
      <c r="Q49" t="s">
        <v>23</v>
      </c>
      <c r="R49" t="s">
        <v>232</v>
      </c>
      <c r="S49" s="22">
        <f t="shared" si="5"/>
        <v>20</v>
      </c>
    </row>
    <row r="50" spans="1:19" ht="13.5" thickBot="1">
      <c r="A50" s="17" t="s">
        <v>60</v>
      </c>
      <c r="B50" s="20">
        <f t="shared" si="2"/>
        <v>18</v>
      </c>
      <c r="C50" t="s">
        <v>23</v>
      </c>
      <c r="E50" s="22">
        <f t="shared" si="3"/>
        <v>0</v>
      </c>
      <c r="F50" s="107"/>
      <c r="G50" s="120" t="s">
        <v>316</v>
      </c>
      <c r="H50" s="20">
        <f t="shared" si="4"/>
        <v>10</v>
      </c>
      <c r="I50" t="s">
        <v>72</v>
      </c>
      <c r="J50" s="157"/>
      <c r="K50" s="154"/>
      <c r="L50" s="20">
        <f t="shared" si="0"/>
        <v>20</v>
      </c>
      <c r="M50" t="s">
        <v>23</v>
      </c>
      <c r="N50" s="158"/>
      <c r="O50" s="154"/>
      <c r="P50" s="20">
        <f t="shared" si="1"/>
        <v>20</v>
      </c>
      <c r="Q50" t="s">
        <v>23</v>
      </c>
      <c r="S50" s="22">
        <f t="shared" si="5"/>
        <v>0</v>
      </c>
    </row>
    <row r="51" spans="1:19" ht="13.5" thickTop="1">
      <c r="A51" s="15" t="s">
        <v>61</v>
      </c>
      <c r="B51" s="20">
        <f t="shared" si="2"/>
        <v>18</v>
      </c>
      <c r="C51" t="s">
        <v>23</v>
      </c>
      <c r="E51" s="22">
        <f t="shared" si="3"/>
        <v>0</v>
      </c>
      <c r="F51" s="107"/>
      <c r="G51" s="121" t="s">
        <v>333</v>
      </c>
      <c r="H51" s="20">
        <f t="shared" si="4"/>
        <v>20</v>
      </c>
      <c r="I51" t="s">
        <v>23</v>
      </c>
      <c r="J51" s="158"/>
      <c r="K51" s="155"/>
      <c r="L51" s="20">
        <f t="shared" si="0"/>
        <v>20</v>
      </c>
      <c r="M51" t="s">
        <v>23</v>
      </c>
      <c r="N51" s="157"/>
      <c r="O51" s="155"/>
      <c r="P51" s="20">
        <f t="shared" si="1"/>
        <v>20</v>
      </c>
      <c r="Q51" t="s">
        <v>23</v>
      </c>
      <c r="S51" s="22">
        <f t="shared" si="5"/>
        <v>0</v>
      </c>
    </row>
    <row r="52" spans="1:19">
      <c r="A52" s="16" t="s">
        <v>62</v>
      </c>
      <c r="B52" s="20">
        <f t="shared" si="2"/>
        <v>18</v>
      </c>
      <c r="C52" t="s">
        <v>23</v>
      </c>
      <c r="E52" s="22">
        <f t="shared" si="3"/>
        <v>0</v>
      </c>
      <c r="F52" s="107"/>
      <c r="G52" s="118" t="s">
        <v>317</v>
      </c>
      <c r="H52" s="20">
        <f t="shared" si="4"/>
        <v>10</v>
      </c>
      <c r="I52" t="s">
        <v>72</v>
      </c>
      <c r="J52" s="159"/>
      <c r="K52" s="155"/>
      <c r="L52" s="20">
        <f t="shared" si="0"/>
        <v>20</v>
      </c>
      <c r="M52" t="s">
        <v>23</v>
      </c>
      <c r="N52" s="158"/>
      <c r="O52" s="155"/>
      <c r="P52" s="20">
        <f t="shared" si="1"/>
        <v>20</v>
      </c>
      <c r="Q52" t="s">
        <v>23</v>
      </c>
      <c r="S52" s="22">
        <f t="shared" si="5"/>
        <v>0</v>
      </c>
    </row>
    <row r="53" spans="1:19">
      <c r="A53" s="16" t="s">
        <v>63</v>
      </c>
      <c r="B53" s="20">
        <f t="shared" si="2"/>
        <v>18</v>
      </c>
      <c r="C53" t="s">
        <v>23</v>
      </c>
      <c r="E53" s="22">
        <f t="shared" si="3"/>
        <v>0</v>
      </c>
      <c r="F53" s="107"/>
      <c r="G53" s="118" t="s">
        <v>318</v>
      </c>
      <c r="H53" s="20">
        <f t="shared" si="4"/>
        <v>10</v>
      </c>
      <c r="I53" t="s">
        <v>72</v>
      </c>
      <c r="J53" s="159"/>
      <c r="K53" s="155"/>
      <c r="L53" s="20">
        <f t="shared" si="0"/>
        <v>20</v>
      </c>
      <c r="M53" t="s">
        <v>23</v>
      </c>
      <c r="N53" s="159"/>
      <c r="O53" s="155"/>
      <c r="P53" s="20">
        <f t="shared" si="1"/>
        <v>20</v>
      </c>
      <c r="Q53" t="s">
        <v>23</v>
      </c>
      <c r="S53" s="22">
        <f t="shared" si="5"/>
        <v>0</v>
      </c>
    </row>
    <row r="54" spans="1:19" ht="13.5" thickBot="1">
      <c r="A54" s="16" t="s">
        <v>64</v>
      </c>
      <c r="B54" s="20">
        <f t="shared" si="2"/>
        <v>18</v>
      </c>
      <c r="C54" t="s">
        <v>23</v>
      </c>
      <c r="E54" s="22">
        <f t="shared" si="3"/>
        <v>0</v>
      </c>
      <c r="F54" s="107"/>
      <c r="G54" s="118" t="s">
        <v>319</v>
      </c>
      <c r="H54" s="20">
        <f t="shared" si="4"/>
        <v>10</v>
      </c>
      <c r="I54" t="s">
        <v>72</v>
      </c>
      <c r="J54" s="159"/>
      <c r="K54" s="155"/>
      <c r="L54" s="20">
        <f t="shared" si="0"/>
        <v>20</v>
      </c>
      <c r="M54" t="s">
        <v>23</v>
      </c>
      <c r="N54" s="159"/>
      <c r="O54" s="155"/>
      <c r="P54" s="20">
        <f t="shared" si="1"/>
        <v>20</v>
      </c>
      <c r="Q54" t="s">
        <v>23</v>
      </c>
      <c r="S54" s="22">
        <f t="shared" si="5"/>
        <v>0</v>
      </c>
    </row>
    <row r="55" spans="1:19" ht="13.5" thickTop="1">
      <c r="A55" s="15" t="s">
        <v>65</v>
      </c>
      <c r="B55" s="20">
        <f>IF(D55="yes",0,IF(C55="senior",18,IF(C55="novice",9,0)))</f>
        <v>18</v>
      </c>
      <c r="C55" t="s">
        <v>23</v>
      </c>
      <c r="E55" s="22">
        <f t="shared" si="3"/>
        <v>0</v>
      </c>
      <c r="F55" s="107"/>
      <c r="G55" s="118" t="s">
        <v>296</v>
      </c>
      <c r="H55" s="20">
        <f t="shared" si="4"/>
        <v>10</v>
      </c>
      <c r="I55" t="s">
        <v>72</v>
      </c>
      <c r="J55" s="159"/>
      <c r="K55" s="155"/>
      <c r="L55" s="20">
        <f t="shared" si="0"/>
        <v>20</v>
      </c>
      <c r="M55" t="s">
        <v>23</v>
      </c>
      <c r="N55" s="159"/>
      <c r="O55" s="155"/>
      <c r="P55" s="20">
        <f t="shared" si="1"/>
        <v>20</v>
      </c>
      <c r="Q55" t="s">
        <v>23</v>
      </c>
      <c r="S55" s="22">
        <f t="shared" si="5"/>
        <v>0</v>
      </c>
    </row>
    <row r="56" spans="1:19">
      <c r="A56" s="16" t="s">
        <v>66</v>
      </c>
      <c r="B56" s="20">
        <f t="shared" si="2"/>
        <v>0</v>
      </c>
      <c r="C56" t="s">
        <v>23</v>
      </c>
      <c r="D56" t="s">
        <v>29</v>
      </c>
      <c r="E56" s="22">
        <f t="shared" si="3"/>
        <v>18</v>
      </c>
      <c r="F56" s="107"/>
      <c r="G56" s="118" t="s">
        <v>320</v>
      </c>
      <c r="H56" s="20">
        <f t="shared" si="4"/>
        <v>10</v>
      </c>
      <c r="I56" t="s">
        <v>72</v>
      </c>
      <c r="J56" s="159"/>
      <c r="K56" s="155"/>
      <c r="L56" s="20">
        <f t="shared" si="0"/>
        <v>20</v>
      </c>
      <c r="M56" t="s">
        <v>23</v>
      </c>
      <c r="N56" s="159"/>
      <c r="O56" s="155"/>
      <c r="P56" s="20">
        <f t="shared" si="1"/>
        <v>20</v>
      </c>
      <c r="Q56" t="s">
        <v>23</v>
      </c>
      <c r="S56" s="22">
        <f t="shared" si="5"/>
        <v>0</v>
      </c>
    </row>
    <row r="57" spans="1:19">
      <c r="A57" s="16" t="s">
        <v>67</v>
      </c>
      <c r="B57" s="20">
        <f t="shared" si="2"/>
        <v>0</v>
      </c>
      <c r="C57" t="s">
        <v>23</v>
      </c>
      <c r="D57" t="s">
        <v>29</v>
      </c>
      <c r="E57" s="22">
        <f t="shared" si="3"/>
        <v>18</v>
      </c>
      <c r="F57" s="107"/>
      <c r="G57" s="118" t="s">
        <v>298</v>
      </c>
      <c r="H57" s="20">
        <f t="shared" si="4"/>
        <v>10</v>
      </c>
      <c r="I57" t="s">
        <v>72</v>
      </c>
      <c r="J57" s="159"/>
      <c r="K57" s="155"/>
      <c r="L57" s="20">
        <f t="shared" si="0"/>
        <v>20</v>
      </c>
      <c r="M57" t="s">
        <v>23</v>
      </c>
      <c r="N57" s="159"/>
      <c r="O57" s="155"/>
      <c r="P57" s="20">
        <f t="shared" si="1"/>
        <v>20</v>
      </c>
      <c r="Q57" t="s">
        <v>23</v>
      </c>
      <c r="S57" s="22">
        <f t="shared" si="5"/>
        <v>0</v>
      </c>
    </row>
    <row r="58" spans="1:19" ht="13.5" thickBot="1">
      <c r="A58" s="16" t="s">
        <v>68</v>
      </c>
      <c r="B58" s="20">
        <f t="shared" si="2"/>
        <v>18</v>
      </c>
      <c r="C58" t="s">
        <v>23</v>
      </c>
      <c r="E58" s="22">
        <f t="shared" si="3"/>
        <v>0</v>
      </c>
      <c r="F58" s="107"/>
      <c r="G58" s="118" t="s">
        <v>299</v>
      </c>
      <c r="H58" s="20">
        <f t="shared" si="4"/>
        <v>10</v>
      </c>
      <c r="I58" t="s">
        <v>72</v>
      </c>
      <c r="J58" s="158"/>
      <c r="K58" s="156"/>
      <c r="L58" s="20">
        <f t="shared" si="0"/>
        <v>20</v>
      </c>
      <c r="M58" t="s">
        <v>23</v>
      </c>
      <c r="N58" s="159"/>
      <c r="O58" s="156"/>
      <c r="P58" s="20">
        <f t="shared" si="1"/>
        <v>20</v>
      </c>
      <c r="Q58" t="s">
        <v>23</v>
      </c>
      <c r="S58" s="22">
        <f t="shared" si="5"/>
        <v>0</v>
      </c>
    </row>
    <row r="59" spans="1:19" ht="13.5" thickBot="1">
      <c r="A59" s="16" t="s">
        <v>69</v>
      </c>
      <c r="B59" s="20">
        <f t="shared" si="2"/>
        <v>18</v>
      </c>
      <c r="C59" t="s">
        <v>23</v>
      </c>
      <c r="E59" s="22">
        <f t="shared" si="3"/>
        <v>0</v>
      </c>
      <c r="F59" s="107"/>
      <c r="G59" s="120" t="s">
        <v>300</v>
      </c>
      <c r="H59" s="20">
        <f t="shared" si="4"/>
        <v>10</v>
      </c>
      <c r="I59" t="s">
        <v>72</v>
      </c>
      <c r="J59" s="157"/>
      <c r="K59" s="154"/>
      <c r="L59" s="20">
        <f t="shared" si="0"/>
        <v>20</v>
      </c>
      <c r="M59" t="s">
        <v>23</v>
      </c>
      <c r="N59" s="157"/>
      <c r="O59" s="154"/>
      <c r="P59" s="20">
        <f t="shared" si="1"/>
        <v>0</v>
      </c>
      <c r="Q59" t="s">
        <v>23</v>
      </c>
      <c r="R59" t="s">
        <v>232</v>
      </c>
      <c r="S59" s="22">
        <f t="shared" si="5"/>
        <v>20</v>
      </c>
    </row>
    <row r="60" spans="1:19" ht="13.5" thickTop="1">
      <c r="A60" s="16" t="s">
        <v>70</v>
      </c>
      <c r="B60" s="20">
        <f t="shared" si="2"/>
        <v>18</v>
      </c>
      <c r="C60" t="s">
        <v>23</v>
      </c>
      <c r="E60" s="22">
        <f t="shared" si="3"/>
        <v>0</v>
      </c>
      <c r="F60" s="107"/>
      <c r="G60" s="117" t="s">
        <v>267</v>
      </c>
      <c r="H60" s="20">
        <f t="shared" si="4"/>
        <v>20</v>
      </c>
      <c r="I60" t="s">
        <v>23</v>
      </c>
      <c r="J60" s="158"/>
      <c r="K60" s="155"/>
      <c r="L60" s="20">
        <f t="shared" si="0"/>
        <v>20</v>
      </c>
      <c r="M60" t="s">
        <v>23</v>
      </c>
      <c r="N60" s="158"/>
      <c r="O60" s="155"/>
      <c r="P60" s="20">
        <f t="shared" si="1"/>
        <v>0</v>
      </c>
      <c r="Q60" t="s">
        <v>23</v>
      </c>
      <c r="R60" t="s">
        <v>232</v>
      </c>
      <c r="S60" s="22">
        <f t="shared" si="5"/>
        <v>20</v>
      </c>
    </row>
    <row r="61" spans="1:19">
      <c r="A61" s="16" t="s">
        <v>71</v>
      </c>
      <c r="B61" s="21">
        <f t="shared" si="2"/>
        <v>9</v>
      </c>
      <c r="C61" s="19" t="s">
        <v>72</v>
      </c>
      <c r="E61" s="22">
        <f t="shared" si="3"/>
        <v>0</v>
      </c>
      <c r="F61" s="107"/>
      <c r="G61" s="118" t="s">
        <v>321</v>
      </c>
      <c r="H61" s="20">
        <f t="shared" si="4"/>
        <v>10</v>
      </c>
      <c r="I61" t="s">
        <v>72</v>
      </c>
      <c r="J61" s="159"/>
      <c r="K61" s="155"/>
      <c r="L61" s="20">
        <f t="shared" si="0"/>
        <v>20</v>
      </c>
      <c r="M61" t="s">
        <v>23</v>
      </c>
      <c r="N61" s="159"/>
      <c r="O61" s="155"/>
      <c r="P61" s="20">
        <f t="shared" si="1"/>
        <v>20</v>
      </c>
      <c r="Q61" t="s">
        <v>23</v>
      </c>
      <c r="S61" s="22">
        <f t="shared" si="5"/>
        <v>0</v>
      </c>
    </row>
    <row r="62" spans="1:19">
      <c r="A62" s="16" t="s">
        <v>73</v>
      </c>
      <c r="B62" s="20">
        <f t="shared" si="2"/>
        <v>0</v>
      </c>
      <c r="C62" t="s">
        <v>72</v>
      </c>
      <c r="D62" t="s">
        <v>29</v>
      </c>
      <c r="E62" s="22">
        <f t="shared" si="3"/>
        <v>9</v>
      </c>
      <c r="F62" s="107"/>
      <c r="G62" s="118" t="s">
        <v>269</v>
      </c>
      <c r="H62" s="20">
        <f t="shared" si="4"/>
        <v>10</v>
      </c>
      <c r="I62" s="19" t="s">
        <v>72</v>
      </c>
      <c r="J62" s="159"/>
      <c r="K62" s="155"/>
      <c r="L62" s="20">
        <f t="shared" si="0"/>
        <v>20</v>
      </c>
      <c r="M62" t="s">
        <v>23</v>
      </c>
      <c r="N62" s="159"/>
      <c r="O62" s="155"/>
      <c r="P62" s="20">
        <f t="shared" si="1"/>
        <v>20</v>
      </c>
      <c r="Q62" s="19" t="s">
        <v>23</v>
      </c>
      <c r="S62" s="22">
        <f t="shared" si="5"/>
        <v>0</v>
      </c>
    </row>
    <row r="63" spans="1:19">
      <c r="A63" s="16" t="s">
        <v>74</v>
      </c>
      <c r="B63" s="20">
        <f t="shared" si="2"/>
        <v>18</v>
      </c>
      <c r="C63" t="s">
        <v>23</v>
      </c>
      <c r="E63" s="22">
        <f t="shared" si="3"/>
        <v>0</v>
      </c>
      <c r="F63" s="107"/>
      <c r="G63" s="118" t="s">
        <v>322</v>
      </c>
      <c r="H63" s="20">
        <f t="shared" si="4"/>
        <v>10</v>
      </c>
      <c r="I63" s="19" t="s">
        <v>72</v>
      </c>
      <c r="J63" s="159"/>
      <c r="K63" s="155"/>
      <c r="L63" s="20">
        <f t="shared" si="0"/>
        <v>20</v>
      </c>
      <c r="M63" t="s">
        <v>23</v>
      </c>
      <c r="N63" s="159"/>
      <c r="O63" s="155"/>
      <c r="P63" s="20">
        <f t="shared" si="1"/>
        <v>20</v>
      </c>
      <c r="Q63" s="19" t="s">
        <v>23</v>
      </c>
      <c r="S63" s="22">
        <f t="shared" si="5"/>
        <v>0</v>
      </c>
    </row>
    <row r="64" spans="1:19" ht="13.5" thickBot="1">
      <c r="A64" s="17" t="s">
        <v>75</v>
      </c>
      <c r="B64" s="20">
        <f t="shared" si="2"/>
        <v>18</v>
      </c>
      <c r="C64" t="s">
        <v>23</v>
      </c>
      <c r="E64" s="22">
        <f t="shared" si="3"/>
        <v>0</v>
      </c>
      <c r="F64" s="107"/>
      <c r="G64" s="118" t="s">
        <v>271</v>
      </c>
      <c r="H64" s="20">
        <f t="shared" si="4"/>
        <v>10</v>
      </c>
      <c r="I64" s="19" t="s">
        <v>72</v>
      </c>
      <c r="J64" s="159"/>
      <c r="K64" s="155"/>
      <c r="L64" s="20">
        <f t="shared" si="0"/>
        <v>20</v>
      </c>
      <c r="M64" t="s">
        <v>23</v>
      </c>
      <c r="N64" s="159"/>
      <c r="O64" s="155"/>
      <c r="P64" s="20">
        <f t="shared" si="1"/>
        <v>20</v>
      </c>
      <c r="Q64" s="19" t="s">
        <v>23</v>
      </c>
      <c r="S64" s="22">
        <f t="shared" si="5"/>
        <v>0</v>
      </c>
    </row>
    <row r="65" spans="5:19" ht="13.5" thickTop="1">
      <c r="E65" s="22"/>
      <c r="F65" s="107"/>
      <c r="G65" s="118" t="s">
        <v>323</v>
      </c>
      <c r="H65" s="20">
        <f t="shared" si="4"/>
        <v>10</v>
      </c>
      <c r="I65" s="19" t="s">
        <v>72</v>
      </c>
      <c r="J65" s="159"/>
      <c r="K65" s="155"/>
      <c r="L65" s="20">
        <f t="shared" si="0"/>
        <v>20</v>
      </c>
      <c r="M65" t="s">
        <v>23</v>
      </c>
      <c r="N65" s="159"/>
      <c r="O65" s="155"/>
      <c r="P65" s="20">
        <f t="shared" si="1"/>
        <v>20</v>
      </c>
      <c r="Q65" s="19" t="s">
        <v>23</v>
      </c>
      <c r="S65" s="22">
        <f t="shared" si="5"/>
        <v>0</v>
      </c>
    </row>
    <row r="66" spans="5:19">
      <c r="F66" s="107"/>
      <c r="G66" s="118" t="s">
        <v>272</v>
      </c>
      <c r="H66" s="20">
        <f t="shared" si="4"/>
        <v>20</v>
      </c>
      <c r="I66" t="s">
        <v>23</v>
      </c>
      <c r="J66" s="159"/>
      <c r="K66" s="155"/>
      <c r="L66" s="20">
        <f t="shared" si="0"/>
        <v>20</v>
      </c>
      <c r="M66" t="s">
        <v>23</v>
      </c>
      <c r="N66" s="159"/>
      <c r="O66" s="155"/>
      <c r="P66" s="20">
        <f t="shared" si="1"/>
        <v>0</v>
      </c>
      <c r="Q66" s="19" t="s">
        <v>23</v>
      </c>
      <c r="R66" t="s">
        <v>232</v>
      </c>
      <c r="S66" s="22">
        <f t="shared" si="5"/>
        <v>20</v>
      </c>
    </row>
    <row r="67" spans="5:19" ht="13.5" thickBot="1">
      <c r="F67" s="107"/>
      <c r="G67" s="120" t="s">
        <v>324</v>
      </c>
      <c r="H67" s="20">
        <f t="shared" si="4"/>
        <v>10</v>
      </c>
      <c r="I67" t="s">
        <v>72</v>
      </c>
      <c r="J67" s="158"/>
      <c r="K67" s="156"/>
      <c r="L67" s="20">
        <f t="shared" si="0"/>
        <v>20</v>
      </c>
      <c r="M67" t="s">
        <v>23</v>
      </c>
      <c r="N67" s="158"/>
      <c r="O67" s="156"/>
      <c r="P67" s="20">
        <f t="shared" si="1"/>
        <v>0</v>
      </c>
      <c r="Q67" s="19" t="s">
        <v>23</v>
      </c>
      <c r="R67" t="s">
        <v>232</v>
      </c>
      <c r="S67" s="22">
        <f t="shared" si="5"/>
        <v>20</v>
      </c>
    </row>
    <row r="68" spans="5:19" ht="13.5" thickTop="1">
      <c r="F68" s="107"/>
      <c r="G68" s="117" t="s">
        <v>303</v>
      </c>
      <c r="H68" s="20">
        <f t="shared" si="4"/>
        <v>10</v>
      </c>
      <c r="I68" t="s">
        <v>72</v>
      </c>
      <c r="J68" s="157"/>
      <c r="K68" s="154"/>
      <c r="L68" s="20">
        <f t="shared" si="0"/>
        <v>20</v>
      </c>
      <c r="M68" t="s">
        <v>23</v>
      </c>
    </row>
    <row r="69" spans="5:19">
      <c r="F69" s="107"/>
      <c r="G69" s="118" t="s">
        <v>325</v>
      </c>
      <c r="H69" s="20">
        <f t="shared" si="4"/>
        <v>10</v>
      </c>
      <c r="I69" t="s">
        <v>72</v>
      </c>
      <c r="J69" s="158"/>
      <c r="K69" s="155"/>
      <c r="L69" s="20">
        <f t="shared" si="0"/>
        <v>20</v>
      </c>
      <c r="M69" t="s">
        <v>23</v>
      </c>
    </row>
    <row r="70" spans="5:19" ht="13.5" thickBot="1">
      <c r="F70" s="107"/>
      <c r="G70" s="118" t="s">
        <v>280</v>
      </c>
      <c r="H70" s="20">
        <f t="shared" si="4"/>
        <v>10</v>
      </c>
      <c r="I70" t="s">
        <v>72</v>
      </c>
      <c r="J70" s="159"/>
      <c r="K70" s="161"/>
      <c r="L70" s="20">
        <f t="shared" si="0"/>
        <v>20</v>
      </c>
      <c r="M70" t="s">
        <v>23</v>
      </c>
    </row>
    <row r="71" spans="5:19">
      <c r="F71" s="107"/>
      <c r="G71" s="118" t="s">
        <v>282</v>
      </c>
      <c r="H71" s="20">
        <f t="shared" si="4"/>
        <v>10</v>
      </c>
      <c r="I71" t="s">
        <v>72</v>
      </c>
      <c r="J71" s="162"/>
      <c r="K71" s="164"/>
    </row>
    <row r="72" spans="5:19">
      <c r="F72" s="107"/>
      <c r="G72" s="118" t="s">
        <v>326</v>
      </c>
      <c r="H72" s="20">
        <f t="shared" si="4"/>
        <v>10</v>
      </c>
      <c r="I72" t="s">
        <v>72</v>
      </c>
      <c r="J72" s="162"/>
      <c r="K72" s="165"/>
    </row>
    <row r="73" spans="5:19">
      <c r="F73" s="107"/>
      <c r="G73" s="118" t="s">
        <v>301</v>
      </c>
      <c r="H73" s="20">
        <f t="shared" si="4"/>
        <v>10</v>
      </c>
      <c r="I73" t="s">
        <v>72</v>
      </c>
      <c r="J73" s="162"/>
      <c r="K73" s="165"/>
    </row>
    <row r="74" spans="5:19">
      <c r="F74" s="107"/>
      <c r="G74" s="118" t="s">
        <v>327</v>
      </c>
      <c r="H74" s="20">
        <f t="shared" si="4"/>
        <v>10</v>
      </c>
      <c r="I74" t="s">
        <v>72</v>
      </c>
      <c r="J74" s="162"/>
      <c r="K74" s="165"/>
    </row>
    <row r="75" spans="5:19">
      <c r="F75" s="107"/>
      <c r="G75" s="118" t="s">
        <v>328</v>
      </c>
      <c r="H75" s="20">
        <f t="shared" si="4"/>
        <v>10</v>
      </c>
      <c r="I75" t="s">
        <v>72</v>
      </c>
      <c r="J75" s="162"/>
      <c r="K75" s="165"/>
    </row>
    <row r="76" spans="5:19" ht="13.5" thickBot="1">
      <c r="F76" s="107"/>
      <c r="G76" s="120" t="s">
        <v>329</v>
      </c>
      <c r="H76" s="20">
        <f t="shared" si="4"/>
        <v>10</v>
      </c>
      <c r="I76" t="s">
        <v>72</v>
      </c>
      <c r="J76" s="163"/>
      <c r="K76" s="165"/>
    </row>
    <row r="77" spans="5:19" ht="13.5" thickTop="1">
      <c r="F77" s="107"/>
      <c r="G77" s="117" t="s">
        <v>330</v>
      </c>
      <c r="H77" s="20">
        <f t="shared" si="4"/>
        <v>20</v>
      </c>
      <c r="I77" t="s">
        <v>23</v>
      </c>
    </row>
    <row r="78" spans="5:19">
      <c r="F78" s="107"/>
      <c r="G78" s="118" t="s">
        <v>331</v>
      </c>
      <c r="H78" s="20">
        <f t="shared" si="4"/>
        <v>20</v>
      </c>
      <c r="I78" t="s">
        <v>23</v>
      </c>
    </row>
    <row r="79" spans="5:19">
      <c r="F79" s="107"/>
      <c r="G79" s="118" t="s">
        <v>50</v>
      </c>
      <c r="H79" s="20">
        <f>IF(J79="yes",0,IF(I79="senior",$H$10,IF(I79="novice",$H$10/2,0)))</f>
        <v>20</v>
      </c>
      <c r="I79" t="s">
        <v>23</v>
      </c>
    </row>
    <row r="80" spans="5:19">
      <c r="F80" s="107"/>
      <c r="G80" s="118" t="s">
        <v>47</v>
      </c>
      <c r="H80" s="20">
        <f>IF(J80="yes",0,IF(I80="senior",$H$10,IF(I80="novice",$H$10/2,0)))</f>
        <v>20</v>
      </c>
      <c r="I80" t="s">
        <v>23</v>
      </c>
    </row>
    <row r="81" spans="6:9" ht="13.5" thickBot="1">
      <c r="F81" s="107"/>
      <c r="G81" s="120" t="s">
        <v>332</v>
      </c>
      <c r="H81" s="20">
        <f>IF(J81="yes",0,IF(I81="senior",$H$10,IF(I81="novice",$H$10/2,0)))</f>
        <v>10</v>
      </c>
      <c r="I81" t="s">
        <v>72</v>
      </c>
    </row>
    <row r="82" spans="6:9" ht="13.5" thickTop="1"/>
  </sheetData>
  <autoFilter ref="A13:S13"/>
  <phoneticPr fontId="2" type="noConversion"/>
  <hyperlinks>
    <hyperlink ref="G51" r:id="rId1" tooltip="Lucas Perez-Trujillo (not yet written)" display="http://www.christs.cam.ac.uk/boatclub/index.php?title=Lucas_Perez-Trujillo&amp;action=edit&amp;redlink=1"/>
    <hyperlink ref="G81" r:id="rId2" tooltip="Simon Speksnijder (not yet written)" display="http://www.christs.cam.ac.uk/boatclub/index.php?title=Simon_Speksnijder&amp;action=edit&amp;redlink=1"/>
    <hyperlink ref="G80" r:id="rId3" tooltip="Salman Bham" display="http://www.christs.cam.ac.uk/boatclub/index.php/Salman_Bham"/>
    <hyperlink ref="G79" r:id="rId4" tooltip="Will Hanschell" display="http://www.christs.cam.ac.uk/boatclub/index.php/Will_Hanschell"/>
    <hyperlink ref="G78" r:id="rId5" tooltip="Scott Furey" display="http://www.christs.cam.ac.uk/boatclub/index.php/Scott_Furey"/>
    <hyperlink ref="G77" r:id="rId6" tooltip="Ben Gaston (not yet written)" display="http://www.christs.cam.ac.uk/boatclub/index.php?title=Ben_Gaston&amp;action=edit&amp;redlink=1"/>
    <hyperlink ref="G76" r:id="rId7" tooltip="Oliver Staves (not yet written)" display="http://www.christs.cam.ac.uk/boatclub/index.php?title=Oliver_Staves&amp;action=edit&amp;redlink=1"/>
    <hyperlink ref="G75" r:id="rId8" tooltip="Alex Ngoi (not yet written)" display="http://www.christs.cam.ac.uk/boatclub/index.php?title=Alex_Ngoi&amp;action=edit&amp;redlink=1"/>
    <hyperlink ref="G74" r:id="rId9" tooltip="Andy Pushakk (not yet written)" display="http://www.christs.cam.ac.uk/boatclub/index.php?title=Andy_Pushakk&amp;action=edit&amp;redlink=1"/>
    <hyperlink ref="G73" r:id="rId10" tooltip="Raymond Li (not yet written)" display="http://www.christs.cam.ac.uk/boatclub/index.php?title=Raymond_Li&amp;action=edit&amp;redlink=1"/>
    <hyperlink ref="G72" r:id="rId11" tooltip="Michael Furman (not yet written)" display="http://www.christs.cam.ac.uk/boatclub/index.php?title=Michael_Furman&amp;action=edit&amp;redlink=1"/>
    <hyperlink ref="G71" r:id="rId12" tooltip="Seth Bresnett" display="http://www.christs.cam.ac.uk/boatclub/index.php/Seth_Bresnett"/>
    <hyperlink ref="G70" r:id="rId13" tooltip="Jonny Bassett (not yet written)" display="http://www.christs.cam.ac.uk/boatclub/index.php?title=Jonny_Bassett&amp;action=edit&amp;redlink=1"/>
    <hyperlink ref="G69" r:id="rId14" tooltip="Animish Sivaramakrishnan (not yet written)" display="http://www.christs.cam.ac.uk/boatclub/index.php?title=Animish_Sivaramakrishnan&amp;action=edit&amp;redlink=1"/>
    <hyperlink ref="G68" r:id="rId15" tooltip="Abarna Ramanathan (not yet written)" display="http://www.christs.cam.ac.uk/boatclub/index.php?title=Abarna_Ramanathan&amp;action=edit&amp;redlink=1"/>
    <hyperlink ref="G67" r:id="rId16" tooltip="Farhana Ahmadi (not yet written)" display="http://www.christs.cam.ac.uk/boatclub/index.php?title=Farhana_Ahmadi&amp;action=edit&amp;redlink=1"/>
    <hyperlink ref="G66" r:id="rId17" tooltip="Jo Hardley (not yet written)" display="http://www.christs.cam.ac.uk/boatclub/index.php?title=Jo_Hardley&amp;action=edit&amp;redlink=1"/>
    <hyperlink ref="G65" r:id="rId18" tooltip="Sarah de Lacy (not yet written)" display="http://www.christs.cam.ac.uk/boatclub/index.php?title=Sarah_de_Lacy&amp;action=edit&amp;redlink=1"/>
    <hyperlink ref="G64" r:id="rId19" tooltip="Emmie Hodges (not yet written)" display="http://www.christs.cam.ac.uk/boatclub/index.php?title=Emmie_Hodges&amp;action=edit&amp;redlink=1"/>
    <hyperlink ref="G63" r:id="rId20" tooltip="Li Ling Quek (not yet written)" display="http://www.christs.cam.ac.uk/boatclub/index.php?title=Li_Ling_Quek&amp;action=edit&amp;redlink=1"/>
    <hyperlink ref="G62" r:id="rId21" tooltip="Charlotte Kendall (not yet written)" display="http://www.christs.cam.ac.uk/boatclub/index.php?title=Charlotte_Kendall&amp;action=edit&amp;redlink=1"/>
    <hyperlink ref="G61" r:id="rId22" tooltip="Amanda Foan (not yet written)" display="http://www.christs.cam.ac.uk/boatclub/index.php?title=Amanda_Foan&amp;action=edit&amp;redlink=1"/>
    <hyperlink ref="G60" r:id="rId23" tooltip="Lizzie Wann (not yet written)" display="http://www.christs.cam.ac.uk/boatclub/index.php?title=Lizzie_Wann&amp;action=edit&amp;redlink=1"/>
    <hyperlink ref="G59" r:id="rId24" tooltip="Qasim Gulamhusein (not yet written)" display="http://www.christs.cam.ac.uk/boatclub/index.php?title=Qasim_Gulamhusein&amp;action=edit&amp;redlink=1"/>
    <hyperlink ref="G58" r:id="rId25" tooltip="Kasim Khorasanee (not yet written)" display="http://www.christs.cam.ac.uk/boatclub/index.php?title=Kasim_Khorasanee&amp;action=edit&amp;redlink=1"/>
    <hyperlink ref="G57" r:id="rId26" tooltip="David Garner (not yet written)" display="http://www.christs.cam.ac.uk/boatclub/index.php?title=David_Garner&amp;action=edit&amp;redlink=1"/>
    <hyperlink ref="G56" r:id="rId27" tooltip="Spencer Ong (not yet written)" display="http://www.christs.cam.ac.uk/boatclub/index.php?title=Spencer_Ong&amp;action=edit&amp;redlink=1"/>
    <hyperlink ref="G55" r:id="rId28" tooltip="Xi Jin (not yet written)" display="http://www.christs.cam.ac.uk/boatclub/index.php?title=Xi_Jin&amp;action=edit&amp;redlink=1"/>
    <hyperlink ref="G54" r:id="rId29" tooltip="In-Yong Hwang (not yet written)" display="http://www.christs.cam.ac.uk/boatclub/index.php?title=In-Yong_Hwang&amp;action=edit&amp;redlink=1"/>
    <hyperlink ref="G53" r:id="rId30" tooltip="Mike Howe (not yet written)" display="http://www.christs.cam.ac.uk/boatclub/index.php?title=Mike_Howe&amp;action=edit&amp;redlink=1"/>
    <hyperlink ref="G52" r:id="rId31" tooltip="Ali Donaghy (not yet written)" display="http://www.christs.cam.ac.uk/boatclub/index.php?title=Ali_Donaghy&amp;action=edit&amp;redlink=1"/>
    <hyperlink ref="G50" r:id="rId32" tooltip="Rachael Stubbins (not yet written)" display="http://www.christs.cam.ac.uk/boatclub/index.php?title=Rachael_Stubbins&amp;action=edit&amp;redlink=1"/>
    <hyperlink ref="G49" r:id="rId33" tooltip="Sabrina Bezzaa (not yet written)" display="http://www.christs.cam.ac.uk/boatclub/index.php?title=Sabrina_Bezzaa&amp;action=edit&amp;redlink=1"/>
    <hyperlink ref="G48" r:id="rId34" tooltip="Lucy Griffin (not yet written)" display="http://www.christs.cam.ac.uk/boatclub/index.php?title=Lucy_Griffin&amp;action=edit&amp;redlink=1"/>
    <hyperlink ref="G47" r:id="rId35" tooltip="Holly Braine (not yet written)" display="http://www.christs.cam.ac.uk/boatclub/index.php?title=Holly_Braine&amp;action=edit&amp;redlink=1"/>
    <hyperlink ref="G46" r:id="rId36" tooltip="Fran Knight (not yet written)" display="http://www.christs.cam.ac.uk/boatclub/index.php?title=Fran_Knight&amp;action=edit&amp;redlink=1"/>
    <hyperlink ref="G45" r:id="rId37" tooltip="Rebecca Hutichinson (not yet written)" display="http://www.christs.cam.ac.uk/boatclub/index.php?title=Rebecca_Hutichinson&amp;action=edit&amp;redlink=1"/>
    <hyperlink ref="G44" r:id="rId38" tooltip="Charlotte Smith (not yet written)" display="http://www.christs.cam.ac.uk/boatclub/index.php?title=Charlotte_Smith&amp;action=edit&amp;redlink=1"/>
    <hyperlink ref="G43" r:id="rId39" tooltip="Lucy Boulding (not yet written)" display="http://www.christs.cam.ac.uk/boatclub/index.php?title=Lucy_Boulding&amp;action=edit&amp;redlink=1"/>
    <hyperlink ref="G42" r:id="rId40" tooltip="Valerie Teh (not yet written)" display="http://www.christs.cam.ac.uk/boatclub/index.php?title=Valerie_Teh&amp;action=edit&amp;redlink=1"/>
    <hyperlink ref="G41" r:id="rId41" tooltip="Yohan Sanmugam (not yet written)" display="http://www.christs.cam.ac.uk/boatclub/index.php?title=Yohan_Sanmugam&amp;action=edit&amp;redlink=1"/>
    <hyperlink ref="G40" r:id="rId42" tooltip="Malte Feldmann" display="http://www.christs.cam.ac.uk/boatclub/index.php/Malte_Feldmann"/>
    <hyperlink ref="G39" r:id="rId43" tooltip="James Pearson" display="http://www.christs.cam.ac.uk/boatclub/index.php/James_Pearson"/>
    <hyperlink ref="G38" r:id="rId44" tooltip="Nick Zhang" display="http://www.christs.cam.ac.uk/boatclub/index.php/Nick_Zhang"/>
    <hyperlink ref="G37" r:id="rId45" tooltip="Rob Courtney" display="http://www.christs.cam.ac.uk/boatclub/index.php/Rob_Courtney"/>
    <hyperlink ref="G36" r:id="rId46" tooltip="Leland Burns (not yet written)" display="http://www.christs.cam.ac.uk/boatclub/index.php?title=Leland_Burns&amp;action=edit&amp;redlink=1"/>
    <hyperlink ref="G35" r:id="rId47" tooltip="Mike Upton" display="http://www.christs.cam.ac.uk/boatclub/index.php/Mike_Upton"/>
    <hyperlink ref="G34" r:id="rId48" tooltip="Marcel Omachel (not yet written)" display="http://www.christs.cam.ac.uk/boatclub/index.php?title=Marcel_Omachel&amp;action=edit&amp;redlink=1"/>
    <hyperlink ref="G33" r:id="rId49" tooltip="Caroline Sanders (not yet written)" display="http://www.christs.cam.ac.uk/boatclub/index.php?title=Caroline_Sanders&amp;action=edit&amp;redlink=1"/>
    <hyperlink ref="G32" r:id="rId50" tooltip="Hannah Meghji (not yet written)" display="http://www.christs.cam.ac.uk/boatclub/index.php?title=Hannah_Meghji&amp;action=edit&amp;redlink=1"/>
    <hyperlink ref="G31" r:id="rId51" tooltip="Becky Chislett" display="http://www.christs.cam.ac.uk/boatclub/index.php/Becky_Chislett"/>
    <hyperlink ref="G30" r:id="rId52" tooltip="Hannah Massey" display="http://www.christs.cam.ac.uk/boatclub/index.php/Hannah_Massey"/>
    <hyperlink ref="G29" r:id="rId53" tooltip="Sarah Gardner (not yet written)" display="http://www.christs.cam.ac.uk/boatclub/index.php?title=Sarah_Gardner&amp;action=edit&amp;redlink=1"/>
    <hyperlink ref="G28" r:id="rId54" tooltip="Lizzy Trevor" display="http://www.christs.cam.ac.uk/boatclub/index.php/Lizzy_Trevor"/>
    <hyperlink ref="G27" r:id="rId55" tooltip="Penny Thuesen" display="http://www.christs.cam.ac.uk/boatclub/index.php/Penny_Thuesen"/>
    <hyperlink ref="G26" r:id="rId56" tooltip="Laura Giles (not yet written)" display="http://www.christs.cam.ac.uk/boatclub/index.php?title=Laura_Giles&amp;action=edit&amp;redlink=1"/>
    <hyperlink ref="G25" r:id="rId57" tooltip="Sofia Wallstrom (not yet written)" display="http://www.christs.cam.ac.uk/boatclub/index.php?title=Sofia_Wallstrom&amp;action=edit&amp;redlink=1"/>
    <hyperlink ref="G24" r:id="rId58" tooltip="Flo Wolfe" display="http://www.christs.cam.ac.uk/boatclub/index.php/Flo_Wolfe"/>
    <hyperlink ref="G22" r:id="rId59" tooltip="Patrick Breen" display="http://www.christs.cam.ac.uk/boatclub/index.php/Patrick_Breen"/>
    <hyperlink ref="G21" r:id="rId60" tooltip="Paul Verhaak (not yet written)" display="http://www.christs.cam.ac.uk/boatclub/index.php?title=Paul_Verhaak&amp;action=edit&amp;redlink=1"/>
    <hyperlink ref="G20" r:id="rId61" tooltip="James Harper" display="http://www.christs.cam.ac.uk/boatclub/index.php/James_Harper"/>
    <hyperlink ref="G19" r:id="rId62" tooltip="Duncan Bull" display="http://www.christs.cam.ac.uk/boatclub/index.php/Duncan_Bull"/>
    <hyperlink ref="G18" r:id="rId63" tooltip="Chris Cheel" display="http://www.christs.cam.ac.uk/boatclub/index.php/Chris_Cheel"/>
    <hyperlink ref="G17" r:id="rId64" tooltip="Vin Shen Ban" display="http://www.christs.cam.ac.uk/boatclub/index.php/Vin_Shen_Ban"/>
    <hyperlink ref="G16" r:id="rId65" tooltip="George Watson" display="http://www.christs.cam.ac.uk/boatclub/index.php/George_Watson"/>
    <hyperlink ref="G15" r:id="rId66" tooltip="Simon Martin" display="http://www.christs.cam.ac.uk/boatclub/index.php/Simon_Martin"/>
    <hyperlink ref="G14" r:id="rId67" tooltip="Katie Sexton" display="http://www.christs.cam.ac.uk/boatclub/index.php/Katie_Sexton"/>
    <hyperlink ref="A64" r:id="rId68" tooltip="Jonny Thompson" display="http://www.srcf.ucam.org/christsbc/index.php?title=Jonny_Thompson&amp;action=edit"/>
    <hyperlink ref="A63" r:id="rId69" tooltip="Adam Southgate" display="http://www.srcf.ucam.org/christsbc/index.php?title=Adam_Southgate"/>
    <hyperlink ref="A62" r:id="rId70" tooltip="Mike Gardiner" display="http://www.srcf.ucam.org/christsbc/index.php?title=Mike_Gardiner"/>
    <hyperlink ref="A61" r:id="rId71" tooltip="Will Lavender" display="http://www.srcf.ucam.org/christsbc/index.php?title=Will_Lavender&amp;action=edit"/>
    <hyperlink ref="A60" r:id="rId72" tooltip="Thom Jenkins" display="http://www.srcf.ucam.org/christsbc/index.php?title=Thom_Jenkins"/>
    <hyperlink ref="A59" r:id="rId73" tooltip="Tyler Hester" display="http://www.srcf.ucam.org/christsbc/index.php?title=Tyler_Hester"/>
    <hyperlink ref="A58" r:id="rId74" tooltip="Charlie Heron" display="http://www.srcf.ucam.org/christsbc/index.php?title=Charlie_Heron"/>
    <hyperlink ref="A57" r:id="rId75" tooltip="Danny Longman" display="http://www.srcf.ucam.org/christsbc/index.php?title=Danny_Longman"/>
    <hyperlink ref="A56" r:id="rId76" tooltip="Chrisse Podesta / Mash Katunina" display="http://www.srcf.ucam.org/christsbc/index.php?title=Chrisse_Podesta_/_Mash_Katunina&amp;action=edit"/>
    <hyperlink ref="A54" r:id="rId77" tooltip="Mark Lawrence" display="http://www.srcf.ucam.org/christsbc/index.php?title=Mark_Lawrence&amp;action=edit"/>
    <hyperlink ref="A53" r:id="rId78" tooltip="James Jones" display="http://www.srcf.ucam.org/christsbc/index.php?title=James_Jones"/>
    <hyperlink ref="A52" r:id="rId79" tooltip="Mike Housden" display="http://www.srcf.ucam.org/christsbc/index.php?title=Mike_Housden"/>
    <hyperlink ref="A51" r:id="rId80" tooltip="Guy Naylor" display="http://www.srcf.ucam.org/christsbc/index.php?title=Guy_Naylor&amp;action=edit"/>
    <hyperlink ref="A50" r:id="rId81" tooltip="Apoorva Kapavarapu" display="http://www.srcf.ucam.org/christsbc/index.php?title=Apoorva_Kapavarapu&amp;action=edit"/>
    <hyperlink ref="A49" r:id="rId82" tooltip="Nicola Norman" display="http://www.srcf.ucam.org/christsbc/index.php?title=Nicola_Norman"/>
    <hyperlink ref="A48" r:id="rId83" tooltip="Sajanthi Nathan" display="http://www.srcf.ucam.org/christsbc/index.php?title=Sajanthi_Nathan&amp;action=edit"/>
    <hyperlink ref="A47" r:id="rId84" tooltip="Sarah Gardner" display="http://www.srcf.ucam.org/christsbc/index.php?title=Sarah_Gardner&amp;action=edit"/>
    <hyperlink ref="A46" r:id="rId85" tooltip="Clementine Beuvais and Hannah Massey" display="http://www.srcf.ucam.org/christsbc/index.php?title=Clementine_Beuvais_and_Hannah_Massey&amp;action=edit"/>
    <hyperlink ref="A44" r:id="rId86" tooltip="Chloe Hole" display="http://www.srcf.ucam.org/christsbc/index.php?title=Chloe_Hole"/>
    <hyperlink ref="A43" r:id="rId87" tooltip="Julia Schlicht" display="http://www.srcf.ucam.org/christsbc/index.php?title=Julia_Schlicht&amp;action=edit"/>
    <hyperlink ref="A42" r:id="rId88" tooltip="Hannah Meghji" display="http://www.srcf.ucam.org/christsbc/index.php?title=Hannah_Meghji&amp;action=edit"/>
    <hyperlink ref="A41" r:id="rId89" tooltip="Flo Wolfe" display="http://www.srcf.ucam.org/christsbc/index.php?title=Flo_Wolfe"/>
    <hyperlink ref="A40" r:id="rId90" tooltip="Will Hanschell" display="http://www.srcf.ucam.org/christsbc/index.php?title=Will_Hanschell"/>
    <hyperlink ref="A39" r:id="rId91" tooltip="Simon Holland" display="http://www.srcf.ucam.org/christsbc/index.php?title=Simon_Holland"/>
    <hyperlink ref="A38" r:id="rId92" tooltip="James Harper" display="http://www.srcf.ucam.org/christsbc/index.php?title=James_Harper"/>
    <hyperlink ref="A37" r:id="rId93" tooltip="Salman Bham" display="http://www.srcf.ucam.org/christsbc/index.php?title=Salman_Bham"/>
    <hyperlink ref="A36" r:id="rId94" tooltip="Chris Philpot" display="http://www.srcf.ucam.org/christsbc/index.php?title=Chris_Philpot"/>
    <hyperlink ref="A35" r:id="rId95" tooltip="Paul Verhaak" display="http://www.srcf.ucam.org/christsbc/index.php?title=Paul_Verhaak&amp;action=edit"/>
    <hyperlink ref="A34" r:id="rId96" tooltip="Patrick Breen" display="http://www.srcf.ucam.org/christsbc/index.php?title=Patrick_Breen"/>
    <hyperlink ref="A33" r:id="rId97" tooltip="Vin Shen Ban" display="http://www.srcf.ucam.org/christsbc/index.php?title=Vin_Shen_Ban"/>
    <hyperlink ref="A32" r:id="rId98" tooltip="Katie Sexton" display="http://www.srcf.ucam.org/christsbc/index.php?title=Katie_Sexton&amp;action=edit"/>
    <hyperlink ref="A31" r:id="rId99" tooltip="Pippa Hammond" display="http://www.srcf.ucam.org/christsbc/index.php?title=Pippa_Hammond"/>
    <hyperlink ref="A30" r:id="rId100" tooltip="Sofia Wallstrom" display="http://www.srcf.ucam.org/christsbc/index.php?title=Sofia_Wallstrom&amp;action=edit"/>
    <hyperlink ref="A29" r:id="rId101" tooltip="Katie Thornton" display="http://www.srcf.ucam.org/christsbc/index.php?title=Katie_Thornton"/>
    <hyperlink ref="A28" r:id="rId102" tooltip="Becky Chislett" display="http://www.srcf.ucam.org/christsbc/index.php?title=Becky_Chislett"/>
    <hyperlink ref="A27" r:id="rId103" tooltip="Lizzy Trevor" display="http://www.srcf.ucam.org/christsbc/index.php?title=Lizzy_Trevor"/>
    <hyperlink ref="A26" r:id="rId104" tooltip="Penny Thuesen" display="http://www.srcf.ucam.org/christsbc/index.php?title=Penny_Thuesen"/>
    <hyperlink ref="A25" r:id="rId105" tooltip="Mary Bjorkegren" display="http://www.srcf.ucam.org/christsbc/index.php?title=Mary_Bjorkegren"/>
    <hyperlink ref="A24" r:id="rId106" tooltip="Eddie Surtees" display="http://www.srcf.ucam.org/christsbc/index.php?title=Eddie_Surtees"/>
    <hyperlink ref="A23" r:id="rId107" tooltip="Esther Gordon-Smith" display="http://www.srcf.ucam.org/christsbc/index.php?title=Esther_Gordon-Smith"/>
    <hyperlink ref="A22" r:id="rId108" tooltip="Adam Bargh" display="http://www.srcf.ucam.org/christsbc/index.php?title=Adam_Bargh"/>
    <hyperlink ref="A21" r:id="rId109" tooltip="Charlie Ferguson" display="http://www.srcf.ucam.org/christsbc/index.php?title=Charlie_Ferguson"/>
    <hyperlink ref="A20" r:id="rId110" tooltip="George Watson" display="http://www.srcf.ucam.org/christsbc/index.php?title=George_Watson"/>
    <hyperlink ref="A19" r:id="rId111" tooltip="Jack Eyre" display="http://www.srcf.ucam.org/christsbc/index.php?title=Jack_Eyre"/>
    <hyperlink ref="A18" r:id="rId112" tooltip="Chris Cheel" display="http://www.srcf.ucam.org/christsbc/index.php?title=Chris_Cheel"/>
    <hyperlink ref="A17" r:id="rId113" tooltip="Duncan Bull" display="http://www.srcf.ucam.org/christsbc/index.php?title=Duncan_Bull"/>
    <hyperlink ref="A16" r:id="rId114" tooltip="Chris Worley" display="http://www.srcf.ucam.org/christsbc/index.php?title=Chris_Worley"/>
    <hyperlink ref="A15" r:id="rId115" tooltip="Simon Martin" display="http://www.srcf.ucam.org/christsbc/index.php?title=Simon_Martin"/>
    <hyperlink ref="A14" r:id="rId116" tooltip="Liz Box" display="http://www.srcf.ucam.org/christsbc/index.php?title=Liz_Box"/>
  </hyperlinks>
  <pageMargins left="0.75" right="0.75" top="1" bottom="1" header="0.5" footer="0.5"/>
  <pageSetup paperSize="9" orientation="portrait" horizontalDpi="4294967293" verticalDpi="0" r:id="rId117"/>
  <headerFooter alignWithMargins="0"/>
</worksheet>
</file>

<file path=xl/worksheets/sheet4.xml><?xml version="1.0" encoding="utf-8"?>
<worksheet xmlns="http://schemas.openxmlformats.org/spreadsheetml/2006/main" xmlns:r="http://schemas.openxmlformats.org/officeDocument/2006/relationships">
  <sheetPr filterMode="1"/>
  <dimension ref="A2:P127"/>
  <sheetViews>
    <sheetView workbookViewId="0">
      <selection activeCell="J129" sqref="A124:J129"/>
    </sheetView>
  </sheetViews>
  <sheetFormatPr defaultRowHeight="12.75"/>
  <cols>
    <col min="1" max="1" width="15.5703125" bestFit="1" customWidth="1"/>
    <col min="2" max="2" width="15.5703125" customWidth="1"/>
    <col min="4" max="4" width="27.28515625" bestFit="1" customWidth="1"/>
    <col min="5" max="5" width="10.140625" bestFit="1" customWidth="1"/>
    <col min="6" max="6" width="13.85546875" bestFit="1" customWidth="1"/>
  </cols>
  <sheetData>
    <row r="2" spans="1:9">
      <c r="A2" s="95" t="s">
        <v>233</v>
      </c>
      <c r="B2" s="97" t="s">
        <v>18</v>
      </c>
      <c r="C2" s="98" t="s">
        <v>19</v>
      </c>
      <c r="D2" s="98" t="s">
        <v>12</v>
      </c>
      <c r="E2" s="98" t="s">
        <v>234</v>
      </c>
      <c r="F2" s="98" t="s">
        <v>236</v>
      </c>
      <c r="G2" s="98" t="s">
        <v>237</v>
      </c>
      <c r="H2" s="98" t="s">
        <v>238</v>
      </c>
    </row>
    <row r="3" spans="1:9" hidden="1">
      <c r="A3" s="96" t="s">
        <v>235</v>
      </c>
      <c r="B3" s="68" t="s">
        <v>44</v>
      </c>
      <c r="C3" s="99">
        <v>22.68</v>
      </c>
      <c r="D3" s="99" t="s">
        <v>232</v>
      </c>
      <c r="E3" s="100">
        <v>39728</v>
      </c>
      <c r="F3" s="99"/>
      <c r="G3" s="99" t="s">
        <v>152</v>
      </c>
      <c r="H3" s="99" t="s">
        <v>232</v>
      </c>
    </row>
    <row r="4" spans="1:9" hidden="1">
      <c r="A4" s="96" t="s">
        <v>235</v>
      </c>
      <c r="B4" s="68" t="s">
        <v>239</v>
      </c>
      <c r="C4" s="99">
        <v>22.68</v>
      </c>
      <c r="D4" s="99" t="s">
        <v>232</v>
      </c>
      <c r="E4" s="100">
        <v>39728</v>
      </c>
      <c r="F4" s="99"/>
      <c r="G4" s="99" t="s">
        <v>152</v>
      </c>
      <c r="H4" s="99" t="s">
        <v>232</v>
      </c>
    </row>
    <row r="5" spans="1:9" hidden="1">
      <c r="A5" s="96" t="s">
        <v>235</v>
      </c>
      <c r="B5" s="68" t="s">
        <v>37</v>
      </c>
      <c r="C5" s="99">
        <v>22.68</v>
      </c>
      <c r="D5" s="99" t="s">
        <v>232</v>
      </c>
      <c r="E5" s="100">
        <v>39728</v>
      </c>
      <c r="F5" s="99"/>
      <c r="G5" s="99" t="s">
        <v>152</v>
      </c>
      <c r="H5" s="99" t="s">
        <v>232</v>
      </c>
    </row>
    <row r="6" spans="1:9" hidden="1">
      <c r="A6" s="96" t="s">
        <v>235</v>
      </c>
      <c r="B6" s="68" t="s">
        <v>48</v>
      </c>
      <c r="C6" s="99">
        <v>22.68</v>
      </c>
      <c r="D6" s="99" t="s">
        <v>232</v>
      </c>
      <c r="E6" s="100">
        <v>39728</v>
      </c>
      <c r="F6" s="99"/>
      <c r="G6" s="99" t="s">
        <v>152</v>
      </c>
      <c r="H6" s="99" t="s">
        <v>232</v>
      </c>
    </row>
    <row r="7" spans="1:9" hidden="1">
      <c r="A7" s="96" t="s">
        <v>235</v>
      </c>
      <c r="B7" s="68" t="s">
        <v>27</v>
      </c>
      <c r="C7" s="99">
        <v>22.68</v>
      </c>
      <c r="D7" s="99" t="s">
        <v>232</v>
      </c>
      <c r="E7" s="100">
        <v>39736</v>
      </c>
      <c r="F7" s="99"/>
      <c r="G7" s="99" t="s">
        <v>232</v>
      </c>
      <c r="H7" s="99" t="s">
        <v>152</v>
      </c>
    </row>
    <row r="8" spans="1:9" hidden="1">
      <c r="A8" s="96" t="s">
        <v>235</v>
      </c>
      <c r="B8" s="68" t="s">
        <v>24</v>
      </c>
      <c r="C8" s="99">
        <v>22.68</v>
      </c>
      <c r="D8" s="99" t="s">
        <v>232</v>
      </c>
      <c r="E8" s="100">
        <v>39736</v>
      </c>
      <c r="F8" s="99"/>
      <c r="G8" s="99" t="s">
        <v>152</v>
      </c>
      <c r="H8" s="99" t="s">
        <v>232</v>
      </c>
    </row>
    <row r="9" spans="1:9" hidden="1">
      <c r="A9" s="96" t="s">
        <v>235</v>
      </c>
      <c r="B9" s="68" t="s">
        <v>26</v>
      </c>
      <c r="C9" s="99">
        <v>22.68</v>
      </c>
      <c r="D9" s="99" t="s">
        <v>232</v>
      </c>
      <c r="E9" s="100">
        <v>39728</v>
      </c>
      <c r="F9" s="99"/>
      <c r="G9" s="99" t="s">
        <v>152</v>
      </c>
      <c r="H9" s="99" t="s">
        <v>232</v>
      </c>
    </row>
    <row r="10" spans="1:9" hidden="1">
      <c r="A10" s="96" t="s">
        <v>235</v>
      </c>
      <c r="B10" s="102" t="s">
        <v>240</v>
      </c>
      <c r="C10" s="99">
        <v>22.68</v>
      </c>
      <c r="D10" s="99"/>
      <c r="E10" s="99"/>
      <c r="F10" s="99" t="s">
        <v>308</v>
      </c>
      <c r="G10" s="99"/>
      <c r="H10" s="99"/>
    </row>
    <row r="11" spans="1:9" hidden="1">
      <c r="A11" s="96" t="s">
        <v>235</v>
      </c>
      <c r="B11" s="102" t="s">
        <v>241</v>
      </c>
      <c r="C11" s="99">
        <v>22.68</v>
      </c>
      <c r="D11" s="99" t="s">
        <v>232</v>
      </c>
      <c r="E11" s="100">
        <v>39736</v>
      </c>
      <c r="F11" s="99"/>
      <c r="G11" s="99" t="s">
        <v>152</v>
      </c>
      <c r="H11" s="99" t="s">
        <v>232</v>
      </c>
    </row>
    <row r="12" spans="1:9" hidden="1">
      <c r="A12" s="96" t="s">
        <v>235</v>
      </c>
      <c r="B12" s="68" t="s">
        <v>59</v>
      </c>
      <c r="C12" s="99">
        <v>22.68</v>
      </c>
      <c r="D12" s="99" t="s">
        <v>232</v>
      </c>
      <c r="E12" s="100">
        <v>39728</v>
      </c>
      <c r="F12" s="99"/>
      <c r="G12" s="99" t="s">
        <v>152</v>
      </c>
      <c r="H12" s="99" t="s">
        <v>232</v>
      </c>
    </row>
    <row r="13" spans="1:9" hidden="1">
      <c r="A13" s="96" t="s">
        <v>235</v>
      </c>
      <c r="B13" s="68" t="s">
        <v>55</v>
      </c>
      <c r="C13" s="99">
        <v>22.68</v>
      </c>
      <c r="D13" s="99" t="s">
        <v>232</v>
      </c>
      <c r="E13" s="100">
        <v>39736</v>
      </c>
      <c r="F13" s="99"/>
      <c r="G13" s="99" t="s">
        <v>232</v>
      </c>
      <c r="H13" s="99" t="s">
        <v>152</v>
      </c>
    </row>
    <row r="14" spans="1:9" hidden="1">
      <c r="A14" s="96" t="s">
        <v>235</v>
      </c>
      <c r="B14" s="102" t="s">
        <v>43</v>
      </c>
      <c r="C14" s="99">
        <v>22.68</v>
      </c>
      <c r="D14" s="99" t="s">
        <v>232</v>
      </c>
      <c r="E14" s="100">
        <v>39779</v>
      </c>
      <c r="F14" s="99"/>
      <c r="G14" s="99" t="s">
        <v>152</v>
      </c>
      <c r="H14" s="99" t="s">
        <v>232</v>
      </c>
    </row>
    <row r="15" spans="1:9" hidden="1">
      <c r="A15" s="96" t="s">
        <v>264</v>
      </c>
      <c r="B15" s="68" t="s">
        <v>51</v>
      </c>
      <c r="C15" s="99">
        <v>20</v>
      </c>
      <c r="D15" s="99" t="s">
        <v>565</v>
      </c>
      <c r="E15" s="100">
        <v>39947</v>
      </c>
      <c r="F15" s="99"/>
      <c r="G15" s="99" t="s">
        <v>152</v>
      </c>
      <c r="H15" s="99" t="s">
        <v>152</v>
      </c>
      <c r="I15" t="s">
        <v>132</v>
      </c>
    </row>
    <row r="16" spans="1:9" hidden="1">
      <c r="A16" s="96" t="s">
        <v>264</v>
      </c>
      <c r="B16" s="68" t="s">
        <v>240</v>
      </c>
      <c r="C16" s="99">
        <v>20</v>
      </c>
      <c r="D16" s="99"/>
      <c r="E16" s="99"/>
      <c r="F16" s="99" t="s">
        <v>308</v>
      </c>
      <c r="G16" s="99"/>
      <c r="H16" s="99"/>
      <c r="I16" t="s">
        <v>132</v>
      </c>
    </row>
    <row r="17" spans="1:16" hidden="1">
      <c r="A17" s="96" t="s">
        <v>264</v>
      </c>
      <c r="B17" s="68" t="s">
        <v>266</v>
      </c>
      <c r="C17" s="99">
        <v>20</v>
      </c>
      <c r="D17" s="99"/>
      <c r="E17" s="99"/>
      <c r="F17" s="99"/>
      <c r="G17" s="99" t="s">
        <v>232</v>
      </c>
      <c r="H17" s="99" t="s">
        <v>152</v>
      </c>
      <c r="I17" t="s">
        <v>132</v>
      </c>
    </row>
    <row r="18" spans="1:16" hidden="1">
      <c r="A18" s="96" t="s">
        <v>264</v>
      </c>
      <c r="B18" s="68" t="s">
        <v>265</v>
      </c>
      <c r="C18" s="99">
        <v>20</v>
      </c>
      <c r="D18" s="99" t="s">
        <v>29</v>
      </c>
      <c r="E18" s="99"/>
      <c r="F18" s="99"/>
      <c r="G18" s="99" t="s">
        <v>152</v>
      </c>
      <c r="H18" s="99" t="s">
        <v>232</v>
      </c>
      <c r="I18" t="s">
        <v>132</v>
      </c>
    </row>
    <row r="19" spans="1:16" hidden="1">
      <c r="A19" s="96" t="s">
        <v>264</v>
      </c>
      <c r="B19" s="68" t="s">
        <v>37</v>
      </c>
      <c r="C19" s="99">
        <v>20</v>
      </c>
      <c r="D19" s="99"/>
      <c r="E19" s="99"/>
      <c r="F19" s="99"/>
      <c r="G19" s="99"/>
      <c r="H19" s="99" t="s">
        <v>232</v>
      </c>
      <c r="I19" t="s">
        <v>132</v>
      </c>
    </row>
    <row r="20" spans="1:16" hidden="1">
      <c r="A20" s="96" t="s">
        <v>264</v>
      </c>
      <c r="B20" s="68" t="s">
        <v>57</v>
      </c>
      <c r="C20" s="99">
        <v>20</v>
      </c>
      <c r="D20" s="99" t="s">
        <v>232</v>
      </c>
      <c r="E20" s="100">
        <v>39779</v>
      </c>
      <c r="F20" s="99"/>
      <c r="G20" s="99"/>
      <c r="H20" s="99" t="s">
        <v>232</v>
      </c>
      <c r="I20" t="s">
        <v>132</v>
      </c>
    </row>
    <row r="21" spans="1:16" hidden="1">
      <c r="A21" s="96" t="s">
        <v>264</v>
      </c>
      <c r="B21" s="68" t="s">
        <v>55</v>
      </c>
      <c r="C21" s="99">
        <v>20</v>
      </c>
      <c r="D21" s="99" t="s">
        <v>565</v>
      </c>
      <c r="E21" s="100">
        <v>39947</v>
      </c>
      <c r="F21" s="99"/>
      <c r="G21" s="99" t="s">
        <v>152</v>
      </c>
      <c r="H21" s="99" t="s">
        <v>152</v>
      </c>
      <c r="I21" t="s">
        <v>132</v>
      </c>
    </row>
    <row r="22" spans="1:16" hidden="1">
      <c r="A22" s="96" t="s">
        <v>264</v>
      </c>
      <c r="B22" s="68" t="s">
        <v>38</v>
      </c>
      <c r="C22" s="99">
        <v>20</v>
      </c>
      <c r="D22" s="99"/>
      <c r="E22" s="99"/>
      <c r="F22" s="99"/>
      <c r="G22" s="99" t="s">
        <v>152</v>
      </c>
      <c r="H22" s="99" t="s">
        <v>232</v>
      </c>
      <c r="I22" t="s">
        <v>132</v>
      </c>
    </row>
    <row r="23" spans="1:16" hidden="1">
      <c r="A23" s="96" t="s">
        <v>264</v>
      </c>
      <c r="B23" s="68" t="s">
        <v>52</v>
      </c>
      <c r="C23" s="99">
        <v>10</v>
      </c>
      <c r="D23" s="99" t="s">
        <v>565</v>
      </c>
      <c r="E23" s="100">
        <v>39947</v>
      </c>
      <c r="F23" s="99"/>
      <c r="G23" s="99" t="s">
        <v>152</v>
      </c>
      <c r="H23" s="99" t="s">
        <v>152</v>
      </c>
      <c r="I23" t="s">
        <v>132</v>
      </c>
      <c r="O23" s="55"/>
      <c r="P23" s="55"/>
    </row>
    <row r="24" spans="1:16" hidden="1">
      <c r="A24" s="96" t="s">
        <v>264</v>
      </c>
      <c r="B24" s="68" t="s">
        <v>267</v>
      </c>
      <c r="C24" s="99">
        <v>10</v>
      </c>
      <c r="D24" s="99"/>
      <c r="E24" s="99"/>
      <c r="F24" s="99"/>
      <c r="G24" s="99"/>
      <c r="H24" s="99" t="s">
        <v>232</v>
      </c>
      <c r="I24" t="s">
        <v>130</v>
      </c>
      <c r="O24" s="68" t="s">
        <v>265</v>
      </c>
      <c r="P24" s="99">
        <v>20</v>
      </c>
    </row>
    <row r="25" spans="1:16" hidden="1">
      <c r="A25" s="96" t="s">
        <v>264</v>
      </c>
      <c r="B25" s="68" t="s">
        <v>268</v>
      </c>
      <c r="C25" s="99">
        <v>10</v>
      </c>
      <c r="D25" s="99" t="s">
        <v>232</v>
      </c>
      <c r="E25" s="100">
        <v>39779</v>
      </c>
      <c r="F25" s="99"/>
      <c r="G25" s="99"/>
      <c r="H25" s="99" t="s">
        <v>232</v>
      </c>
      <c r="I25" t="s">
        <v>130</v>
      </c>
      <c r="O25" s="68" t="s">
        <v>55</v>
      </c>
      <c r="P25" s="99">
        <v>20</v>
      </c>
    </row>
    <row r="26" spans="1:16" hidden="1">
      <c r="A26" s="96" t="s">
        <v>264</v>
      </c>
      <c r="B26" s="68" t="s">
        <v>269</v>
      </c>
      <c r="C26" s="99">
        <v>10</v>
      </c>
      <c r="D26" s="99" t="s">
        <v>565</v>
      </c>
      <c r="E26" s="100">
        <v>39947</v>
      </c>
      <c r="F26" s="99"/>
      <c r="G26" s="99" t="s">
        <v>152</v>
      </c>
      <c r="H26" s="99" t="s">
        <v>152</v>
      </c>
      <c r="I26" t="s">
        <v>130</v>
      </c>
      <c r="O26" s="55"/>
      <c r="P26" s="55"/>
    </row>
    <row r="27" spans="1:16" hidden="1">
      <c r="A27" s="96" t="s">
        <v>264</v>
      </c>
      <c r="B27" s="68" t="s">
        <v>270</v>
      </c>
      <c r="C27" s="99">
        <v>10</v>
      </c>
      <c r="D27" s="99" t="s">
        <v>232</v>
      </c>
      <c r="E27" s="100">
        <v>39779</v>
      </c>
      <c r="F27" s="99"/>
      <c r="G27" s="99"/>
      <c r="H27" s="99" t="s">
        <v>232</v>
      </c>
      <c r="I27" t="s">
        <v>130</v>
      </c>
      <c r="O27" s="68" t="s">
        <v>52</v>
      </c>
      <c r="P27" s="99">
        <v>10</v>
      </c>
    </row>
    <row r="28" spans="1:16" hidden="1">
      <c r="A28" s="96" t="s">
        <v>264</v>
      </c>
      <c r="B28" s="68" t="s">
        <v>271</v>
      </c>
      <c r="C28" s="99">
        <v>10</v>
      </c>
      <c r="D28" s="99" t="s">
        <v>232</v>
      </c>
      <c r="E28" s="100">
        <v>39779</v>
      </c>
      <c r="F28" s="99"/>
      <c r="G28" s="99"/>
      <c r="H28" s="99" t="s">
        <v>232</v>
      </c>
      <c r="I28" t="s">
        <v>130</v>
      </c>
      <c r="O28" s="68" t="s">
        <v>269</v>
      </c>
      <c r="P28" s="99">
        <v>10</v>
      </c>
    </row>
    <row r="29" spans="1:16" hidden="1">
      <c r="A29" s="96" t="s">
        <v>264</v>
      </c>
      <c r="B29" s="68" t="s">
        <v>272</v>
      </c>
      <c r="C29" s="99">
        <v>10</v>
      </c>
      <c r="D29" s="99"/>
      <c r="E29" s="99"/>
      <c r="F29" s="99"/>
      <c r="G29" s="99" t="s">
        <v>232</v>
      </c>
      <c r="H29" s="99" t="s">
        <v>152</v>
      </c>
      <c r="I29" t="s">
        <v>130</v>
      </c>
      <c r="O29" s="68" t="s">
        <v>273</v>
      </c>
      <c r="P29" s="99">
        <v>10</v>
      </c>
    </row>
    <row r="30" spans="1:16" hidden="1">
      <c r="A30" s="96" t="s">
        <v>264</v>
      </c>
      <c r="B30" s="68" t="s">
        <v>273</v>
      </c>
      <c r="C30" s="99">
        <v>10</v>
      </c>
      <c r="D30" s="99" t="s">
        <v>565</v>
      </c>
      <c r="E30" s="100">
        <v>39947</v>
      </c>
      <c r="F30" s="99"/>
      <c r="G30" s="99" t="s">
        <v>152</v>
      </c>
      <c r="H30" s="99" t="s">
        <v>152</v>
      </c>
      <c r="I30" t="s">
        <v>130</v>
      </c>
      <c r="O30" s="55"/>
      <c r="P30" s="55"/>
    </row>
    <row r="31" spans="1:16" hidden="1">
      <c r="A31" s="96" t="s">
        <v>264</v>
      </c>
      <c r="B31" s="68" t="s">
        <v>282</v>
      </c>
      <c r="C31" s="99">
        <v>20</v>
      </c>
      <c r="D31" s="99" t="s">
        <v>232</v>
      </c>
      <c r="E31" s="100">
        <v>39779</v>
      </c>
      <c r="F31" s="99"/>
      <c r="G31" s="99"/>
      <c r="H31" s="99" t="s">
        <v>232</v>
      </c>
      <c r="I31" t="s">
        <v>294</v>
      </c>
      <c r="N31" s="104"/>
      <c r="O31" s="68" t="s">
        <v>274</v>
      </c>
      <c r="P31" s="99">
        <v>20</v>
      </c>
    </row>
    <row r="32" spans="1:16" hidden="1">
      <c r="A32" s="96" t="s">
        <v>264</v>
      </c>
      <c r="B32" s="68" t="s">
        <v>304</v>
      </c>
      <c r="C32" s="99">
        <v>20</v>
      </c>
      <c r="D32" s="99" t="s">
        <v>232</v>
      </c>
      <c r="E32" s="99"/>
      <c r="F32" s="99"/>
      <c r="G32" s="99" t="s">
        <v>152</v>
      </c>
      <c r="H32" s="99" t="s">
        <v>232</v>
      </c>
      <c r="I32" t="s">
        <v>130</v>
      </c>
      <c r="J32" s="105" t="s">
        <v>305</v>
      </c>
      <c r="O32" s="55"/>
      <c r="P32" s="55"/>
    </row>
    <row r="33" spans="1:16" hidden="1">
      <c r="A33" s="96" t="s">
        <v>264</v>
      </c>
      <c r="B33" s="68" t="s">
        <v>274</v>
      </c>
      <c r="C33" s="99">
        <v>20</v>
      </c>
      <c r="D33" s="99" t="s">
        <v>565</v>
      </c>
      <c r="E33" s="100">
        <v>39947</v>
      </c>
      <c r="F33" s="99"/>
      <c r="G33" s="99" t="s">
        <v>152</v>
      </c>
      <c r="H33" s="99" t="s">
        <v>152</v>
      </c>
      <c r="I33" t="s">
        <v>126</v>
      </c>
      <c r="O33" s="55"/>
      <c r="P33" s="55"/>
    </row>
    <row r="34" spans="1:16" hidden="1">
      <c r="A34" s="96" t="s">
        <v>264</v>
      </c>
      <c r="B34" s="68" t="s">
        <v>275</v>
      </c>
      <c r="C34" s="99">
        <v>20</v>
      </c>
      <c r="D34" s="99" t="s">
        <v>232</v>
      </c>
      <c r="E34" s="100">
        <v>39779</v>
      </c>
      <c r="F34" s="99"/>
      <c r="G34" s="99"/>
      <c r="H34" s="99" t="s">
        <v>232</v>
      </c>
      <c r="I34" t="s">
        <v>126</v>
      </c>
      <c r="O34" s="68" t="s">
        <v>279</v>
      </c>
      <c r="P34" s="99">
        <v>20</v>
      </c>
    </row>
    <row r="35" spans="1:16" hidden="1">
      <c r="A35" s="96" t="s">
        <v>264</v>
      </c>
      <c r="B35" s="68" t="s">
        <v>276</v>
      </c>
      <c r="C35" s="99">
        <v>20</v>
      </c>
      <c r="D35" s="99" t="s">
        <v>232</v>
      </c>
      <c r="E35" s="100">
        <v>39779</v>
      </c>
      <c r="F35" s="99"/>
      <c r="G35" s="99"/>
      <c r="H35" s="99" t="s">
        <v>232</v>
      </c>
      <c r="I35" t="s">
        <v>126</v>
      </c>
      <c r="O35" s="68" t="s">
        <v>280</v>
      </c>
      <c r="P35" s="99">
        <v>10</v>
      </c>
    </row>
    <row r="36" spans="1:16" hidden="1">
      <c r="A36" s="96" t="s">
        <v>264</v>
      </c>
      <c r="B36" s="68" t="s">
        <v>309</v>
      </c>
      <c r="C36" s="99">
        <v>20</v>
      </c>
      <c r="D36" s="99"/>
      <c r="E36" s="99"/>
      <c r="F36" s="99"/>
      <c r="G36" s="99" t="s">
        <v>152</v>
      </c>
      <c r="H36" s="99" t="s">
        <v>232</v>
      </c>
      <c r="I36" t="s">
        <v>126</v>
      </c>
      <c r="O36" s="68" t="s">
        <v>283</v>
      </c>
      <c r="P36" s="99">
        <v>10</v>
      </c>
    </row>
    <row r="37" spans="1:16" hidden="1">
      <c r="A37" s="96" t="s">
        <v>264</v>
      </c>
      <c r="B37" s="68" t="s">
        <v>277</v>
      </c>
      <c r="C37" s="99">
        <v>20</v>
      </c>
      <c r="D37" s="99" t="s">
        <v>565</v>
      </c>
      <c r="E37" s="100">
        <v>39947</v>
      </c>
      <c r="F37" s="99"/>
      <c r="G37" s="99" t="s">
        <v>152</v>
      </c>
      <c r="H37" s="99" t="s">
        <v>152</v>
      </c>
      <c r="I37" t="s">
        <v>126</v>
      </c>
      <c r="O37" s="55"/>
      <c r="P37" s="55"/>
    </row>
    <row r="38" spans="1:16" hidden="1">
      <c r="A38" s="96" t="s">
        <v>264</v>
      </c>
      <c r="B38" s="68" t="s">
        <v>278</v>
      </c>
      <c r="C38" s="99">
        <v>20</v>
      </c>
      <c r="D38" s="99" t="s">
        <v>565</v>
      </c>
      <c r="E38" s="100">
        <v>39947</v>
      </c>
      <c r="F38" s="99"/>
      <c r="G38" s="99" t="s">
        <v>152</v>
      </c>
      <c r="H38" s="99" t="s">
        <v>152</v>
      </c>
      <c r="I38" t="s">
        <v>126</v>
      </c>
      <c r="O38" s="55"/>
      <c r="P38" s="55"/>
    </row>
    <row r="39" spans="1:16" hidden="1">
      <c r="A39" s="96" t="s">
        <v>264</v>
      </c>
      <c r="B39" s="68" t="s">
        <v>279</v>
      </c>
      <c r="C39" s="99">
        <v>20</v>
      </c>
      <c r="D39" s="99" t="s">
        <v>232</v>
      </c>
      <c r="E39" s="99"/>
      <c r="F39" s="99"/>
      <c r="G39" s="99" t="s">
        <v>152</v>
      </c>
      <c r="H39" s="99" t="s">
        <v>232</v>
      </c>
      <c r="I39" t="s">
        <v>302</v>
      </c>
      <c r="O39" s="55"/>
      <c r="P39" s="55"/>
    </row>
    <row r="40" spans="1:16" hidden="1">
      <c r="A40" s="96" t="s">
        <v>264</v>
      </c>
      <c r="B40" s="68" t="s">
        <v>280</v>
      </c>
      <c r="C40" s="99">
        <v>10</v>
      </c>
      <c r="D40" s="99" t="s">
        <v>232</v>
      </c>
      <c r="E40" s="99"/>
      <c r="F40" s="99"/>
      <c r="G40" s="99" t="s">
        <v>232</v>
      </c>
      <c r="H40" s="99" t="s">
        <v>152</v>
      </c>
      <c r="I40" t="s">
        <v>126</v>
      </c>
      <c r="O40" s="55"/>
      <c r="P40" s="55"/>
    </row>
    <row r="41" spans="1:16" hidden="1">
      <c r="A41" s="96" t="s">
        <v>264</v>
      </c>
      <c r="B41" s="68" t="s">
        <v>281</v>
      </c>
      <c r="C41" s="99">
        <v>10</v>
      </c>
      <c r="D41" s="99" t="s">
        <v>232</v>
      </c>
      <c r="E41" s="100">
        <v>39779</v>
      </c>
      <c r="F41" s="99"/>
      <c r="G41" s="99"/>
      <c r="H41" s="99" t="s">
        <v>232</v>
      </c>
      <c r="I41" t="s">
        <v>126</v>
      </c>
      <c r="O41" s="68" t="s">
        <v>24</v>
      </c>
      <c r="P41" s="99">
        <v>20</v>
      </c>
    </row>
    <row r="42" spans="1:16" hidden="1">
      <c r="A42" s="96" t="s">
        <v>264</v>
      </c>
      <c r="B42" s="68" t="s">
        <v>283</v>
      </c>
      <c r="C42" s="99">
        <v>10</v>
      </c>
      <c r="D42" s="99" t="s">
        <v>565</v>
      </c>
      <c r="E42" s="100">
        <v>39947</v>
      </c>
      <c r="F42" s="99"/>
      <c r="G42" s="99" t="s">
        <v>152</v>
      </c>
      <c r="H42" s="99" t="s">
        <v>152</v>
      </c>
      <c r="I42" t="s">
        <v>126</v>
      </c>
      <c r="O42" s="55"/>
      <c r="P42" s="55"/>
    </row>
    <row r="43" spans="1:16" hidden="1">
      <c r="A43" s="96" t="s">
        <v>264</v>
      </c>
      <c r="B43" s="68" t="s">
        <v>284</v>
      </c>
      <c r="C43" s="99">
        <v>10</v>
      </c>
      <c r="D43" s="99"/>
      <c r="E43" s="99"/>
      <c r="F43" s="99"/>
      <c r="G43" s="99"/>
      <c r="H43" s="99" t="s">
        <v>232</v>
      </c>
      <c r="I43" t="s">
        <v>129</v>
      </c>
      <c r="O43" s="68" t="s">
        <v>296</v>
      </c>
      <c r="P43" s="99">
        <v>10</v>
      </c>
    </row>
    <row r="44" spans="1:16" hidden="1">
      <c r="A44" s="96" t="s">
        <v>264</v>
      </c>
      <c r="B44" s="68" t="s">
        <v>285</v>
      </c>
      <c r="C44" s="99">
        <v>10</v>
      </c>
      <c r="D44" s="99" t="s">
        <v>232</v>
      </c>
      <c r="E44" s="100">
        <v>39779</v>
      </c>
      <c r="F44" s="99"/>
      <c r="G44" s="99"/>
      <c r="H44" s="99" t="s">
        <v>232</v>
      </c>
      <c r="I44" t="s">
        <v>129</v>
      </c>
      <c r="O44" s="68" t="s">
        <v>297</v>
      </c>
      <c r="P44" s="99">
        <v>10</v>
      </c>
    </row>
    <row r="45" spans="1:16" hidden="1">
      <c r="A45" s="96" t="s">
        <v>264</v>
      </c>
      <c r="B45" s="68" t="s">
        <v>286</v>
      </c>
      <c r="C45" s="99">
        <v>10</v>
      </c>
      <c r="D45" s="99" t="s">
        <v>232</v>
      </c>
      <c r="E45" s="100">
        <v>39779</v>
      </c>
      <c r="F45" s="99"/>
      <c r="G45" s="99"/>
      <c r="H45" s="99" t="s">
        <v>232</v>
      </c>
      <c r="I45" t="s">
        <v>129</v>
      </c>
      <c r="O45" s="68" t="s">
        <v>301</v>
      </c>
      <c r="P45" s="99">
        <v>10</v>
      </c>
    </row>
    <row r="46" spans="1:16" hidden="1">
      <c r="A46" s="96" t="s">
        <v>264</v>
      </c>
      <c r="B46" s="68" t="s">
        <v>287</v>
      </c>
      <c r="C46" s="99">
        <v>10</v>
      </c>
      <c r="D46" s="99"/>
      <c r="E46" s="99"/>
      <c r="F46" s="99"/>
      <c r="G46" s="99"/>
      <c r="H46" s="99" t="s">
        <v>232</v>
      </c>
      <c r="I46" t="s">
        <v>129</v>
      </c>
      <c r="O46" s="109" t="s">
        <v>311</v>
      </c>
      <c r="P46" s="99">
        <v>9.32</v>
      </c>
    </row>
    <row r="47" spans="1:16" hidden="1">
      <c r="A47" s="96" t="s">
        <v>264</v>
      </c>
      <c r="B47" s="68" t="s">
        <v>288</v>
      </c>
      <c r="C47" s="99">
        <v>10</v>
      </c>
      <c r="D47" s="99" t="s">
        <v>232</v>
      </c>
      <c r="E47" s="100">
        <v>39779</v>
      </c>
      <c r="F47" s="99"/>
      <c r="G47" s="99"/>
      <c r="H47" s="99" t="s">
        <v>232</v>
      </c>
      <c r="I47" t="s">
        <v>129</v>
      </c>
      <c r="O47" s="109" t="s">
        <v>274</v>
      </c>
      <c r="P47" s="99">
        <v>9.32</v>
      </c>
    </row>
    <row r="48" spans="1:16" hidden="1">
      <c r="A48" s="96" t="s">
        <v>264</v>
      </c>
      <c r="B48" s="68" t="s">
        <v>289</v>
      </c>
      <c r="C48" s="99">
        <v>10</v>
      </c>
      <c r="D48" s="99"/>
      <c r="E48" s="99"/>
      <c r="F48" s="99"/>
      <c r="G48" s="99"/>
      <c r="H48" s="99" t="s">
        <v>232</v>
      </c>
      <c r="I48" t="s">
        <v>129</v>
      </c>
      <c r="O48" s="109" t="s">
        <v>275</v>
      </c>
      <c r="P48" s="99">
        <v>9.32</v>
      </c>
    </row>
    <row r="49" spans="1:16" hidden="1">
      <c r="A49" s="96" t="s">
        <v>264</v>
      </c>
      <c r="B49" s="68" t="s">
        <v>290</v>
      </c>
      <c r="C49" s="99">
        <v>10</v>
      </c>
      <c r="D49" s="99" t="s">
        <v>232</v>
      </c>
      <c r="E49" s="100">
        <v>39779</v>
      </c>
      <c r="F49" s="99"/>
      <c r="G49" s="99"/>
      <c r="H49" s="99" t="s">
        <v>232</v>
      </c>
      <c r="I49" t="s">
        <v>129</v>
      </c>
      <c r="O49" s="109" t="s">
        <v>276</v>
      </c>
      <c r="P49" s="99">
        <v>9.32</v>
      </c>
    </row>
    <row r="50" spans="1:16" hidden="1">
      <c r="A50" s="96" t="s">
        <v>264</v>
      </c>
      <c r="B50" s="68" t="s">
        <v>291</v>
      </c>
      <c r="C50" s="99">
        <v>10</v>
      </c>
      <c r="D50" s="99"/>
      <c r="E50" s="99"/>
      <c r="F50" s="99"/>
      <c r="G50" s="99" t="s">
        <v>152</v>
      </c>
      <c r="H50" s="99" t="s">
        <v>232</v>
      </c>
      <c r="I50" t="s">
        <v>129</v>
      </c>
      <c r="O50" s="109" t="s">
        <v>312</v>
      </c>
      <c r="P50" s="99">
        <v>9.32</v>
      </c>
    </row>
    <row r="51" spans="1:16" hidden="1">
      <c r="A51" s="96" t="s">
        <v>264</v>
      </c>
      <c r="B51" s="68" t="s">
        <v>292</v>
      </c>
      <c r="C51" s="99">
        <v>10</v>
      </c>
      <c r="D51" s="99"/>
      <c r="E51" s="99"/>
      <c r="F51" s="99"/>
      <c r="G51" s="99" t="s">
        <v>152</v>
      </c>
      <c r="H51" s="99" t="s">
        <v>232</v>
      </c>
      <c r="I51" t="s">
        <v>129</v>
      </c>
      <c r="O51" s="109" t="s">
        <v>283</v>
      </c>
      <c r="P51" s="99">
        <v>9.32</v>
      </c>
    </row>
    <row r="52" spans="1:16" hidden="1">
      <c r="A52" s="96" t="s">
        <v>264</v>
      </c>
      <c r="B52" s="68" t="s">
        <v>68</v>
      </c>
      <c r="C52" s="99">
        <v>20</v>
      </c>
      <c r="D52" s="99" t="s">
        <v>232</v>
      </c>
      <c r="E52" s="99"/>
      <c r="F52" s="99"/>
      <c r="G52" s="99" t="s">
        <v>152</v>
      </c>
      <c r="H52" s="99" t="s">
        <v>232</v>
      </c>
      <c r="I52" t="s">
        <v>97</v>
      </c>
      <c r="O52" s="151"/>
      <c r="P52" s="55"/>
    </row>
    <row r="53" spans="1:16" hidden="1">
      <c r="A53" s="96" t="s">
        <v>264</v>
      </c>
      <c r="B53" s="68" t="s">
        <v>44</v>
      </c>
      <c r="C53" s="99">
        <v>20</v>
      </c>
      <c r="D53" s="99" t="s">
        <v>334</v>
      </c>
      <c r="E53" s="99"/>
      <c r="F53" s="99"/>
      <c r="G53" s="99" t="s">
        <v>152</v>
      </c>
      <c r="H53" s="99" t="s">
        <v>152</v>
      </c>
      <c r="I53" t="s">
        <v>121</v>
      </c>
      <c r="O53" s="109" t="s">
        <v>313</v>
      </c>
      <c r="P53" s="99">
        <v>9.32</v>
      </c>
    </row>
    <row r="54" spans="1:16" hidden="1">
      <c r="A54" s="96" t="s">
        <v>264</v>
      </c>
      <c r="B54" s="68" t="s">
        <v>48</v>
      </c>
      <c r="C54" s="99">
        <v>20</v>
      </c>
      <c r="D54" s="99" t="s">
        <v>565</v>
      </c>
      <c r="E54" s="100">
        <v>39947</v>
      </c>
      <c r="F54" s="99"/>
      <c r="G54" s="99" t="s">
        <v>152</v>
      </c>
      <c r="H54" s="99" t="s">
        <v>152</v>
      </c>
      <c r="I54" t="s">
        <v>121</v>
      </c>
      <c r="O54" s="152"/>
      <c r="P54" s="55"/>
    </row>
    <row r="55" spans="1:16" hidden="1">
      <c r="A55" s="96" t="s">
        <v>264</v>
      </c>
      <c r="B55" s="68" t="s">
        <v>45</v>
      </c>
      <c r="C55" s="99">
        <v>20</v>
      </c>
      <c r="D55" s="99" t="s">
        <v>565</v>
      </c>
      <c r="E55" s="100">
        <v>39947</v>
      </c>
      <c r="F55" s="99"/>
      <c r="G55" s="99" t="s">
        <v>152</v>
      </c>
      <c r="H55" s="99" t="s">
        <v>152</v>
      </c>
      <c r="I55" t="s">
        <v>121</v>
      </c>
      <c r="O55" s="151"/>
      <c r="P55" s="55"/>
    </row>
    <row r="56" spans="1:16" hidden="1">
      <c r="A56" s="96" t="s">
        <v>264</v>
      </c>
      <c r="B56" s="68" t="s">
        <v>43</v>
      </c>
      <c r="C56" s="99">
        <v>20</v>
      </c>
      <c r="D56" s="99" t="s">
        <v>232</v>
      </c>
      <c r="E56" s="100">
        <v>39779</v>
      </c>
      <c r="F56" s="99"/>
      <c r="G56" s="99"/>
      <c r="H56" s="99" t="s">
        <v>232</v>
      </c>
      <c r="I56" t="s">
        <v>121</v>
      </c>
      <c r="O56" s="109" t="s">
        <v>318</v>
      </c>
      <c r="P56" s="99">
        <v>9.32</v>
      </c>
    </row>
    <row r="57" spans="1:16" hidden="1">
      <c r="A57" s="96" t="s">
        <v>264</v>
      </c>
      <c r="B57" s="68" t="s">
        <v>293</v>
      </c>
      <c r="C57" s="99">
        <v>20</v>
      </c>
      <c r="D57" s="99" t="s">
        <v>565</v>
      </c>
      <c r="E57" s="100">
        <v>39947</v>
      </c>
      <c r="F57" s="99"/>
      <c r="G57" s="99" t="s">
        <v>152</v>
      </c>
      <c r="H57" s="99" t="s">
        <v>152</v>
      </c>
      <c r="I57" t="s">
        <v>121</v>
      </c>
      <c r="O57" s="151"/>
      <c r="P57" s="55"/>
    </row>
    <row r="58" spans="1:16" hidden="1">
      <c r="A58" s="96" t="s">
        <v>264</v>
      </c>
      <c r="B58" s="68" t="s">
        <v>26</v>
      </c>
      <c r="C58" s="99">
        <v>20</v>
      </c>
      <c r="D58" s="99" t="s">
        <v>232</v>
      </c>
      <c r="E58" s="100">
        <v>39779</v>
      </c>
      <c r="F58" s="99" t="s">
        <v>308</v>
      </c>
      <c r="G58" s="99" t="s">
        <v>152</v>
      </c>
      <c r="H58" s="99" t="s">
        <v>152</v>
      </c>
      <c r="I58" t="s">
        <v>121</v>
      </c>
      <c r="O58" s="109" t="s">
        <v>296</v>
      </c>
      <c r="P58" s="99">
        <v>9.32</v>
      </c>
    </row>
    <row r="59" spans="1:16" hidden="1">
      <c r="A59" s="96" t="s">
        <v>264</v>
      </c>
      <c r="B59" s="68" t="s">
        <v>27</v>
      </c>
      <c r="C59" s="99">
        <v>20</v>
      </c>
      <c r="D59" s="99"/>
      <c r="E59" s="99"/>
      <c r="F59" s="99"/>
      <c r="G59" s="99"/>
      <c r="H59" s="99" t="s">
        <v>232</v>
      </c>
      <c r="I59" t="s">
        <v>121</v>
      </c>
      <c r="O59" s="109" t="s">
        <v>320</v>
      </c>
      <c r="P59" s="99">
        <v>9.32</v>
      </c>
    </row>
    <row r="60" spans="1:16" hidden="1">
      <c r="A60" s="96" t="s">
        <v>264</v>
      </c>
      <c r="B60" s="68" t="s">
        <v>30</v>
      </c>
      <c r="C60" s="99">
        <v>20</v>
      </c>
      <c r="D60" s="99" t="s">
        <v>232</v>
      </c>
      <c r="E60" s="100">
        <v>39779</v>
      </c>
      <c r="F60" s="99"/>
      <c r="G60" s="99"/>
      <c r="H60" s="99" t="s">
        <v>232</v>
      </c>
      <c r="I60" t="s">
        <v>121</v>
      </c>
      <c r="O60" s="109" t="s">
        <v>298</v>
      </c>
      <c r="P60" s="99">
        <v>9.32</v>
      </c>
    </row>
    <row r="61" spans="1:16" hidden="1">
      <c r="A61" s="96" t="s">
        <v>264</v>
      </c>
      <c r="B61" s="68" t="s">
        <v>24</v>
      </c>
      <c r="C61" s="99">
        <v>20</v>
      </c>
      <c r="D61" s="99" t="s">
        <v>565</v>
      </c>
      <c r="E61" s="100">
        <v>39947</v>
      </c>
      <c r="F61" s="99"/>
      <c r="G61" s="99" t="s">
        <v>152</v>
      </c>
      <c r="H61" s="99" t="s">
        <v>152</v>
      </c>
      <c r="I61" t="s">
        <v>121</v>
      </c>
      <c r="O61" s="151"/>
      <c r="P61" s="55"/>
    </row>
    <row r="62" spans="1:16" hidden="1">
      <c r="A62" s="96" t="s">
        <v>264</v>
      </c>
      <c r="B62" s="68" t="s">
        <v>42</v>
      </c>
      <c r="C62" s="99">
        <v>10</v>
      </c>
      <c r="D62" s="99" t="s">
        <v>565</v>
      </c>
      <c r="E62" s="100">
        <v>39947</v>
      </c>
      <c r="F62" s="99"/>
      <c r="G62" s="99" t="s">
        <v>152</v>
      </c>
      <c r="H62" s="99" t="s">
        <v>152</v>
      </c>
      <c r="I62" t="s">
        <v>121</v>
      </c>
      <c r="O62" s="151"/>
      <c r="P62" s="55"/>
    </row>
    <row r="63" spans="1:16" hidden="1">
      <c r="A63" s="96" t="s">
        <v>264</v>
      </c>
      <c r="B63" s="68" t="s">
        <v>295</v>
      </c>
      <c r="C63" s="99">
        <v>10</v>
      </c>
      <c r="D63" s="99" t="s">
        <v>232</v>
      </c>
      <c r="E63" s="100">
        <v>39779</v>
      </c>
      <c r="F63" s="99"/>
      <c r="G63" s="99"/>
      <c r="H63" s="99" t="s">
        <v>232</v>
      </c>
      <c r="I63" t="s">
        <v>127</v>
      </c>
      <c r="O63" s="109" t="s">
        <v>272</v>
      </c>
      <c r="P63" s="99">
        <v>9.32</v>
      </c>
    </row>
    <row r="64" spans="1:16" hidden="1">
      <c r="A64" s="96" t="s">
        <v>264</v>
      </c>
      <c r="B64" s="68" t="s">
        <v>296</v>
      </c>
      <c r="C64" s="99">
        <v>10</v>
      </c>
      <c r="D64" s="99" t="s">
        <v>565</v>
      </c>
      <c r="E64" s="100">
        <v>39947</v>
      </c>
      <c r="F64" s="99"/>
      <c r="G64" s="99" t="s">
        <v>152</v>
      </c>
      <c r="H64" s="99" t="s">
        <v>152</v>
      </c>
      <c r="I64" t="s">
        <v>127</v>
      </c>
      <c r="O64" s="151"/>
      <c r="P64" s="55"/>
    </row>
    <row r="65" spans="1:16" hidden="1">
      <c r="A65" s="96" t="s">
        <v>264</v>
      </c>
      <c r="B65" s="68" t="s">
        <v>297</v>
      </c>
      <c r="C65" s="99">
        <v>10</v>
      </c>
      <c r="D65" s="99" t="s">
        <v>565</v>
      </c>
      <c r="E65" s="100">
        <v>39947</v>
      </c>
      <c r="F65" s="99"/>
      <c r="G65" s="99" t="s">
        <v>152</v>
      </c>
      <c r="H65" s="99" t="s">
        <v>152</v>
      </c>
      <c r="I65" t="s">
        <v>127</v>
      </c>
      <c r="O65" s="151"/>
      <c r="P65" s="55"/>
    </row>
    <row r="66" spans="1:16" hidden="1">
      <c r="A66" s="96" t="s">
        <v>264</v>
      </c>
      <c r="B66" s="68" t="s">
        <v>298</v>
      </c>
      <c r="C66" s="99">
        <v>10</v>
      </c>
      <c r="D66" s="99"/>
      <c r="E66" s="99"/>
      <c r="F66" s="99"/>
      <c r="G66" s="99" t="s">
        <v>232</v>
      </c>
      <c r="H66" s="99"/>
      <c r="I66" t="s">
        <v>127</v>
      </c>
      <c r="O66" s="109" t="s">
        <v>280</v>
      </c>
      <c r="P66" s="99">
        <v>9.32</v>
      </c>
    </row>
    <row r="67" spans="1:16" hidden="1">
      <c r="A67" s="96" t="s">
        <v>264</v>
      </c>
      <c r="B67" s="68" t="s">
        <v>299</v>
      </c>
      <c r="C67" s="99">
        <v>10</v>
      </c>
      <c r="D67" s="99" t="s">
        <v>232</v>
      </c>
      <c r="E67" s="100">
        <v>39779</v>
      </c>
      <c r="F67" s="99"/>
      <c r="G67" s="99"/>
      <c r="H67" s="99" t="s">
        <v>232</v>
      </c>
      <c r="I67" t="s">
        <v>127</v>
      </c>
      <c r="O67" s="109" t="s">
        <v>282</v>
      </c>
      <c r="P67" s="99">
        <v>9.32</v>
      </c>
    </row>
    <row r="68" spans="1:16" hidden="1">
      <c r="A68" s="96" t="s">
        <v>264</v>
      </c>
      <c r="B68" s="68" t="s">
        <v>300</v>
      </c>
      <c r="C68" s="99">
        <v>10</v>
      </c>
      <c r="D68" s="99" t="s">
        <v>29</v>
      </c>
      <c r="E68" s="100">
        <v>39825</v>
      </c>
      <c r="F68" s="99"/>
      <c r="G68" s="99" t="s">
        <v>152</v>
      </c>
      <c r="H68" s="99" t="s">
        <v>29</v>
      </c>
      <c r="I68" t="s">
        <v>127</v>
      </c>
      <c r="O68" s="109" t="s">
        <v>326</v>
      </c>
      <c r="P68" s="99">
        <v>9.32</v>
      </c>
    </row>
    <row r="69" spans="1:16" hidden="1">
      <c r="A69" s="96" t="s">
        <v>264</v>
      </c>
      <c r="B69" s="68" t="s">
        <v>301</v>
      </c>
      <c r="C69" s="99">
        <v>10</v>
      </c>
      <c r="D69" s="99" t="s">
        <v>565</v>
      </c>
      <c r="E69" s="100">
        <v>39947</v>
      </c>
      <c r="F69" s="99"/>
      <c r="G69" s="99" t="s">
        <v>152</v>
      </c>
      <c r="H69" s="99" t="s">
        <v>152</v>
      </c>
      <c r="I69" t="s">
        <v>127</v>
      </c>
      <c r="K69" s="104"/>
      <c r="O69" s="151"/>
      <c r="P69" s="55"/>
    </row>
    <row r="70" spans="1:16" hidden="1">
      <c r="A70" s="96" t="s">
        <v>264</v>
      </c>
      <c r="B70" s="68" t="s">
        <v>303</v>
      </c>
      <c r="C70" s="99">
        <v>10</v>
      </c>
      <c r="D70" s="99"/>
      <c r="E70" s="99"/>
      <c r="F70" s="99"/>
      <c r="G70" s="99" t="s">
        <v>232</v>
      </c>
      <c r="H70" s="99"/>
      <c r="I70" t="s">
        <v>127</v>
      </c>
      <c r="O70" s="109" t="s">
        <v>327</v>
      </c>
      <c r="P70" s="99">
        <v>9.32</v>
      </c>
    </row>
    <row r="71" spans="1:16" hidden="1">
      <c r="A71" s="96" t="s">
        <v>310</v>
      </c>
      <c r="B71" s="68" t="s">
        <v>309</v>
      </c>
      <c r="C71" s="99">
        <v>9.32</v>
      </c>
      <c r="D71" s="99"/>
      <c r="E71" s="99"/>
      <c r="F71" s="99"/>
      <c r="G71" s="99" t="s">
        <v>152</v>
      </c>
      <c r="H71" s="99" t="s">
        <v>232</v>
      </c>
      <c r="I71" t="s">
        <v>126</v>
      </c>
      <c r="O71" s="109" t="s">
        <v>328</v>
      </c>
      <c r="P71" s="99">
        <v>9.32</v>
      </c>
    </row>
    <row r="72" spans="1:16" hidden="1">
      <c r="A72" s="108" t="s">
        <v>310</v>
      </c>
      <c r="B72" s="109" t="s">
        <v>311</v>
      </c>
      <c r="C72" s="99">
        <v>9.32</v>
      </c>
      <c r="D72" s="99" t="s">
        <v>565</v>
      </c>
      <c r="E72" s="100">
        <v>39947</v>
      </c>
      <c r="F72" s="99"/>
      <c r="G72" s="99" t="s">
        <v>152</v>
      </c>
      <c r="H72" s="99" t="s">
        <v>152</v>
      </c>
      <c r="I72" t="s">
        <v>126</v>
      </c>
      <c r="O72" s="151"/>
      <c r="P72" s="55"/>
    </row>
    <row r="73" spans="1:16" hidden="1">
      <c r="A73" s="108" t="s">
        <v>310</v>
      </c>
      <c r="B73" s="109" t="s">
        <v>274</v>
      </c>
      <c r="C73" s="99">
        <v>9.32</v>
      </c>
      <c r="D73" s="99" t="s">
        <v>565</v>
      </c>
      <c r="E73" s="100">
        <v>39947</v>
      </c>
      <c r="F73" s="99"/>
      <c r="G73" s="99" t="s">
        <v>152</v>
      </c>
      <c r="H73" s="99" t="s">
        <v>152</v>
      </c>
      <c r="I73" t="s">
        <v>126</v>
      </c>
      <c r="O73" s="153"/>
      <c r="P73" s="55"/>
    </row>
    <row r="74" spans="1:16" hidden="1">
      <c r="A74" s="108" t="s">
        <v>310</v>
      </c>
      <c r="B74" s="109" t="s">
        <v>275</v>
      </c>
      <c r="C74" s="99">
        <v>9.32</v>
      </c>
      <c r="D74" s="99" t="s">
        <v>232</v>
      </c>
      <c r="E74" s="99"/>
      <c r="F74" s="99"/>
      <c r="G74" s="99" t="s">
        <v>152</v>
      </c>
      <c r="H74" s="99" t="s">
        <v>232</v>
      </c>
      <c r="I74" t="s">
        <v>126</v>
      </c>
      <c r="O74" s="153"/>
      <c r="P74" s="55"/>
    </row>
    <row r="75" spans="1:16" hidden="1">
      <c r="A75" s="108" t="s">
        <v>310</v>
      </c>
      <c r="B75" s="109" t="s">
        <v>276</v>
      </c>
      <c r="C75" s="99">
        <v>9.32</v>
      </c>
      <c r="D75" s="99" t="s">
        <v>232</v>
      </c>
      <c r="E75" s="99"/>
      <c r="F75" s="99"/>
      <c r="G75" s="99" t="s">
        <v>152</v>
      </c>
      <c r="H75" s="99" t="s">
        <v>232</v>
      </c>
      <c r="I75" t="s">
        <v>126</v>
      </c>
      <c r="O75" s="153"/>
      <c r="P75" s="55"/>
    </row>
    <row r="76" spans="1:16" hidden="1">
      <c r="A76" s="108" t="s">
        <v>310</v>
      </c>
      <c r="B76" s="109" t="s">
        <v>312</v>
      </c>
      <c r="C76" s="99">
        <v>9.32</v>
      </c>
      <c r="D76" s="99" t="s">
        <v>232</v>
      </c>
      <c r="E76" s="99"/>
      <c r="F76" s="99"/>
      <c r="G76" s="99" t="s">
        <v>152</v>
      </c>
      <c r="H76" s="99" t="s">
        <v>232</v>
      </c>
      <c r="I76" t="s">
        <v>126</v>
      </c>
      <c r="O76" s="153"/>
      <c r="P76" s="55"/>
    </row>
    <row r="77" spans="1:16" hidden="1">
      <c r="A77" s="108" t="s">
        <v>310</v>
      </c>
      <c r="B77" s="109" t="s">
        <v>283</v>
      </c>
      <c r="C77" s="99">
        <v>9.32</v>
      </c>
      <c r="D77" s="99" t="s">
        <v>565</v>
      </c>
      <c r="E77" s="100">
        <v>39947</v>
      </c>
      <c r="F77" s="99"/>
      <c r="G77" s="99" t="s">
        <v>152</v>
      </c>
      <c r="H77" s="99" t="s">
        <v>152</v>
      </c>
      <c r="I77" t="s">
        <v>126</v>
      </c>
      <c r="O77" s="153"/>
      <c r="P77" s="55"/>
    </row>
    <row r="78" spans="1:16" hidden="1">
      <c r="A78" s="108" t="s">
        <v>310</v>
      </c>
      <c r="B78" s="109" t="s">
        <v>277</v>
      </c>
      <c r="C78" s="99">
        <v>9.32</v>
      </c>
      <c r="D78" s="99" t="s">
        <v>565</v>
      </c>
      <c r="E78" s="100">
        <v>39947</v>
      </c>
      <c r="F78" s="99"/>
      <c r="G78" s="99" t="s">
        <v>152</v>
      </c>
      <c r="H78" s="99" t="s">
        <v>152</v>
      </c>
      <c r="I78" t="s">
        <v>126</v>
      </c>
    </row>
    <row r="79" spans="1:16" hidden="1">
      <c r="A79" s="108" t="s">
        <v>310</v>
      </c>
      <c r="B79" s="109" t="s">
        <v>313</v>
      </c>
      <c r="C79" s="99">
        <v>9.32</v>
      </c>
      <c r="D79" s="99" t="s">
        <v>565</v>
      </c>
      <c r="E79" s="100">
        <v>39947</v>
      </c>
      <c r="F79" s="99"/>
      <c r="G79" s="99" t="s">
        <v>152</v>
      </c>
      <c r="H79" s="99" t="s">
        <v>152</v>
      </c>
      <c r="I79" t="s">
        <v>126</v>
      </c>
    </row>
    <row r="80" spans="1:16" hidden="1">
      <c r="A80" s="108" t="s">
        <v>310</v>
      </c>
      <c r="B80" s="109" t="s">
        <v>314</v>
      </c>
      <c r="C80" s="99">
        <v>9.32</v>
      </c>
      <c r="D80" s="99"/>
      <c r="E80" s="99"/>
      <c r="F80" s="99"/>
      <c r="G80" s="99"/>
      <c r="H80" s="99" t="s">
        <v>232</v>
      </c>
      <c r="I80" t="s">
        <v>129</v>
      </c>
    </row>
    <row r="81" spans="1:9" hidden="1">
      <c r="A81" s="108" t="s">
        <v>310</v>
      </c>
      <c r="B81" s="109" t="s">
        <v>285</v>
      </c>
      <c r="C81" s="99">
        <v>9.32</v>
      </c>
      <c r="D81" s="99"/>
      <c r="E81" s="99"/>
      <c r="F81" s="99"/>
      <c r="G81" s="99"/>
      <c r="H81" s="99" t="s">
        <v>232</v>
      </c>
      <c r="I81" t="s">
        <v>129</v>
      </c>
    </row>
    <row r="82" spans="1:9" hidden="1">
      <c r="A82" s="108" t="s">
        <v>310</v>
      </c>
      <c r="B82" s="109" t="s">
        <v>286</v>
      </c>
      <c r="C82" s="99">
        <v>9.32</v>
      </c>
      <c r="D82" s="99"/>
      <c r="E82" s="99"/>
      <c r="F82" s="99"/>
      <c r="G82" s="99" t="s">
        <v>152</v>
      </c>
      <c r="H82" s="99" t="s">
        <v>232</v>
      </c>
      <c r="I82" t="s">
        <v>129</v>
      </c>
    </row>
    <row r="83" spans="1:9" hidden="1">
      <c r="A83" s="108" t="s">
        <v>310</v>
      </c>
      <c r="B83" s="109" t="s">
        <v>315</v>
      </c>
      <c r="C83" s="99">
        <v>9.32</v>
      </c>
      <c r="D83" s="99"/>
      <c r="E83" s="99"/>
      <c r="F83" s="99"/>
      <c r="G83" s="99"/>
      <c r="H83" s="99" t="s">
        <v>232</v>
      </c>
      <c r="I83" t="s">
        <v>129</v>
      </c>
    </row>
    <row r="84" spans="1:9" hidden="1">
      <c r="A84" s="108" t="s">
        <v>310</v>
      </c>
      <c r="B84" s="109" t="s">
        <v>288</v>
      </c>
      <c r="C84" s="99">
        <v>9.32</v>
      </c>
      <c r="D84" s="99"/>
      <c r="E84" s="99"/>
      <c r="F84" s="99"/>
      <c r="G84" s="99" t="s">
        <v>152</v>
      </c>
      <c r="H84" s="99" t="s">
        <v>232</v>
      </c>
      <c r="I84" t="s">
        <v>129</v>
      </c>
    </row>
    <row r="85" spans="1:9" hidden="1">
      <c r="A85" s="108" t="s">
        <v>310</v>
      </c>
      <c r="B85" s="109" t="s">
        <v>289</v>
      </c>
      <c r="C85" s="99">
        <v>9.32</v>
      </c>
      <c r="D85" s="99"/>
      <c r="E85" s="99"/>
      <c r="F85" s="99"/>
      <c r="G85" s="99"/>
      <c r="H85" s="99" t="s">
        <v>232</v>
      </c>
      <c r="I85" t="s">
        <v>129</v>
      </c>
    </row>
    <row r="86" spans="1:9" hidden="1">
      <c r="A86" s="108" t="s">
        <v>310</v>
      </c>
      <c r="B86" s="109" t="s">
        <v>290</v>
      </c>
      <c r="C86" s="99">
        <v>9.32</v>
      </c>
      <c r="D86" s="99"/>
      <c r="E86" s="99"/>
      <c r="F86" s="99"/>
      <c r="G86" s="99"/>
      <c r="H86" s="99" t="s">
        <v>232</v>
      </c>
      <c r="I86" t="s">
        <v>129</v>
      </c>
    </row>
    <row r="87" spans="1:9" hidden="1">
      <c r="A87" s="108" t="s">
        <v>310</v>
      </c>
      <c r="B87" s="109" t="s">
        <v>291</v>
      </c>
      <c r="C87" s="99">
        <v>9.32</v>
      </c>
      <c r="D87" s="99"/>
      <c r="E87" s="99"/>
      <c r="F87" s="99"/>
      <c r="G87" s="99" t="s">
        <v>152</v>
      </c>
      <c r="H87" s="99" t="s">
        <v>232</v>
      </c>
      <c r="I87" t="s">
        <v>129</v>
      </c>
    </row>
    <row r="88" spans="1:9" hidden="1">
      <c r="A88" s="108" t="s">
        <v>310</v>
      </c>
      <c r="B88" s="109" t="s">
        <v>316</v>
      </c>
      <c r="C88" s="99">
        <v>9.32</v>
      </c>
      <c r="D88" s="99"/>
      <c r="E88" s="99"/>
      <c r="F88" s="99"/>
      <c r="G88" s="99"/>
      <c r="H88" s="99" t="s">
        <v>232</v>
      </c>
      <c r="I88" t="s">
        <v>129</v>
      </c>
    </row>
    <row r="89" spans="1:9" hidden="1">
      <c r="A89" s="108" t="s">
        <v>310</v>
      </c>
      <c r="B89" s="110" t="s">
        <v>333</v>
      </c>
      <c r="C89" s="99">
        <v>9.32</v>
      </c>
      <c r="D89" s="99" t="s">
        <v>565</v>
      </c>
      <c r="E89" s="100">
        <v>39947</v>
      </c>
      <c r="F89" s="99"/>
      <c r="G89" s="99" t="s">
        <v>152</v>
      </c>
      <c r="H89" s="99" t="s">
        <v>152</v>
      </c>
      <c r="I89" t="s">
        <v>127</v>
      </c>
    </row>
    <row r="90" spans="1:9" hidden="1">
      <c r="A90" s="108" t="s">
        <v>310</v>
      </c>
      <c r="B90" s="109" t="s">
        <v>317</v>
      </c>
      <c r="C90" s="99">
        <v>9.32</v>
      </c>
      <c r="D90" s="99"/>
      <c r="E90" s="99"/>
      <c r="F90" s="99"/>
      <c r="G90" s="99" t="s">
        <v>152</v>
      </c>
      <c r="H90" s="99" t="s">
        <v>232</v>
      </c>
      <c r="I90" t="s">
        <v>127</v>
      </c>
    </row>
    <row r="91" spans="1:9" hidden="1">
      <c r="A91" s="108" t="s">
        <v>310</v>
      </c>
      <c r="B91" s="109" t="s">
        <v>318</v>
      </c>
      <c r="C91" s="99">
        <v>9.32</v>
      </c>
      <c r="D91" s="99" t="s">
        <v>565</v>
      </c>
      <c r="E91" s="100">
        <v>39947</v>
      </c>
      <c r="F91" s="99"/>
      <c r="G91" s="99" t="s">
        <v>152</v>
      </c>
      <c r="H91" s="99" t="s">
        <v>152</v>
      </c>
      <c r="I91" t="s">
        <v>127</v>
      </c>
    </row>
    <row r="92" spans="1:9" hidden="1">
      <c r="A92" s="108" t="s">
        <v>310</v>
      </c>
      <c r="B92" s="109" t="s">
        <v>319</v>
      </c>
      <c r="C92" s="99">
        <v>9.32</v>
      </c>
      <c r="D92" s="99" t="s">
        <v>565</v>
      </c>
      <c r="E92" s="100">
        <v>39947</v>
      </c>
      <c r="F92" s="99"/>
      <c r="G92" s="99" t="s">
        <v>152</v>
      </c>
      <c r="H92" s="99" t="s">
        <v>152</v>
      </c>
      <c r="I92" t="s">
        <v>127</v>
      </c>
    </row>
    <row r="93" spans="1:9" hidden="1">
      <c r="A93" s="108" t="s">
        <v>310</v>
      </c>
      <c r="B93" s="109" t="s">
        <v>296</v>
      </c>
      <c r="C93" s="99">
        <v>9.32</v>
      </c>
      <c r="D93" s="99" t="s">
        <v>565</v>
      </c>
      <c r="E93" s="100">
        <v>39947</v>
      </c>
      <c r="F93" s="99"/>
      <c r="G93" s="99" t="s">
        <v>152</v>
      </c>
      <c r="H93" s="99" t="s">
        <v>152</v>
      </c>
      <c r="I93" t="s">
        <v>127</v>
      </c>
    </row>
    <row r="94" spans="1:9" hidden="1">
      <c r="A94" s="108" t="s">
        <v>310</v>
      </c>
      <c r="B94" s="109" t="s">
        <v>320</v>
      </c>
      <c r="C94" s="99">
        <v>9.32</v>
      </c>
      <c r="D94" s="99" t="s">
        <v>565</v>
      </c>
      <c r="E94" s="100">
        <v>39947</v>
      </c>
      <c r="F94" s="99"/>
      <c r="G94" s="99" t="s">
        <v>152</v>
      </c>
      <c r="H94" s="99" t="s">
        <v>152</v>
      </c>
      <c r="I94" t="s">
        <v>127</v>
      </c>
    </row>
    <row r="95" spans="1:9" hidden="1">
      <c r="A95" s="108" t="s">
        <v>310</v>
      </c>
      <c r="B95" s="109" t="s">
        <v>298</v>
      </c>
      <c r="C95" s="99">
        <v>9.32</v>
      </c>
      <c r="D95" s="99" t="s">
        <v>565</v>
      </c>
      <c r="E95" s="100">
        <v>39947</v>
      </c>
      <c r="F95" s="99"/>
      <c r="G95" s="99" t="s">
        <v>152</v>
      </c>
      <c r="H95" s="99" t="s">
        <v>152</v>
      </c>
      <c r="I95" t="s">
        <v>127</v>
      </c>
    </row>
    <row r="96" spans="1:9" hidden="1">
      <c r="A96" s="108" t="s">
        <v>310</v>
      </c>
      <c r="B96" s="109" t="s">
        <v>299</v>
      </c>
      <c r="C96" s="99">
        <v>9.32</v>
      </c>
      <c r="D96" s="99"/>
      <c r="E96" s="99"/>
      <c r="F96" s="99"/>
      <c r="G96" s="99" t="s">
        <v>152</v>
      </c>
      <c r="H96" s="99" t="s">
        <v>232</v>
      </c>
      <c r="I96" t="s">
        <v>127</v>
      </c>
    </row>
    <row r="97" spans="1:9" hidden="1">
      <c r="A97" s="108" t="s">
        <v>310</v>
      </c>
      <c r="B97" s="109" t="s">
        <v>300</v>
      </c>
      <c r="C97" s="99">
        <v>9.32</v>
      </c>
      <c r="D97" s="99" t="s">
        <v>29</v>
      </c>
      <c r="E97" s="100">
        <v>39459</v>
      </c>
      <c r="F97" s="99"/>
      <c r="G97" s="99" t="s">
        <v>152</v>
      </c>
      <c r="H97" s="99" t="s">
        <v>29</v>
      </c>
      <c r="I97" t="s">
        <v>127</v>
      </c>
    </row>
    <row r="98" spans="1:9" hidden="1">
      <c r="A98" s="108" t="s">
        <v>310</v>
      </c>
      <c r="B98" s="109" t="s">
        <v>267</v>
      </c>
      <c r="C98" s="99">
        <v>9.32</v>
      </c>
      <c r="D98" s="99"/>
      <c r="E98" s="99"/>
      <c r="F98" s="99"/>
      <c r="G98" s="99"/>
      <c r="H98" s="99" t="s">
        <v>232</v>
      </c>
      <c r="I98" t="s">
        <v>130</v>
      </c>
    </row>
    <row r="99" spans="1:9" hidden="1">
      <c r="A99" s="108" t="s">
        <v>310</v>
      </c>
      <c r="B99" s="109" t="s">
        <v>321</v>
      </c>
      <c r="C99" s="99">
        <v>9.32</v>
      </c>
      <c r="D99" s="99"/>
      <c r="E99" s="99"/>
      <c r="F99" s="99"/>
      <c r="G99" s="99"/>
      <c r="H99" s="99" t="s">
        <v>232</v>
      </c>
      <c r="I99" t="s">
        <v>130</v>
      </c>
    </row>
    <row r="100" spans="1:9" hidden="1">
      <c r="A100" s="108" t="s">
        <v>310</v>
      </c>
      <c r="B100" s="109" t="s">
        <v>269</v>
      </c>
      <c r="C100" s="99">
        <v>9.32</v>
      </c>
      <c r="D100" s="99"/>
      <c r="E100" s="99"/>
      <c r="F100" s="99"/>
      <c r="G100" s="99" t="s">
        <v>152</v>
      </c>
      <c r="H100" s="99" t="s">
        <v>232</v>
      </c>
      <c r="I100" t="s">
        <v>130</v>
      </c>
    </row>
    <row r="101" spans="1:9" hidden="1">
      <c r="A101" s="108" t="s">
        <v>310</v>
      </c>
      <c r="B101" s="109" t="s">
        <v>322</v>
      </c>
      <c r="C101" s="99">
        <v>9.32</v>
      </c>
      <c r="D101" s="99" t="s">
        <v>565</v>
      </c>
      <c r="E101" s="100">
        <v>39947</v>
      </c>
      <c r="F101" s="99"/>
      <c r="G101" s="99" t="s">
        <v>152</v>
      </c>
      <c r="H101" s="99" t="s">
        <v>152</v>
      </c>
      <c r="I101" t="s">
        <v>130</v>
      </c>
    </row>
    <row r="102" spans="1:9" hidden="1">
      <c r="A102" s="108" t="s">
        <v>310</v>
      </c>
      <c r="B102" s="109" t="s">
        <v>271</v>
      </c>
      <c r="C102" s="99">
        <v>9.32</v>
      </c>
      <c r="D102" s="99"/>
      <c r="E102" s="99"/>
      <c r="F102" s="99"/>
      <c r="G102" s="99"/>
      <c r="H102" s="99" t="s">
        <v>232</v>
      </c>
      <c r="I102" t="s">
        <v>130</v>
      </c>
    </row>
    <row r="103" spans="1:9" hidden="1">
      <c r="A103" s="108" t="s">
        <v>310</v>
      </c>
      <c r="B103" s="109" t="s">
        <v>323</v>
      </c>
      <c r="C103" s="99">
        <v>9.32</v>
      </c>
      <c r="D103" s="99"/>
      <c r="E103" s="99"/>
      <c r="F103" s="99"/>
      <c r="G103" s="99"/>
      <c r="H103" s="99" t="s">
        <v>232</v>
      </c>
      <c r="I103" t="s">
        <v>130</v>
      </c>
    </row>
    <row r="104" spans="1:9" hidden="1">
      <c r="A104" s="108" t="s">
        <v>310</v>
      </c>
      <c r="B104" s="109" t="s">
        <v>272</v>
      </c>
      <c r="C104" s="99">
        <v>9.32</v>
      </c>
      <c r="D104" s="99"/>
      <c r="E104" s="99"/>
      <c r="F104" s="99"/>
      <c r="G104" s="99" t="s">
        <v>232</v>
      </c>
      <c r="H104" s="99" t="s">
        <v>152</v>
      </c>
      <c r="I104" t="s">
        <v>130</v>
      </c>
    </row>
    <row r="105" spans="1:9" hidden="1">
      <c r="A105" s="108" t="s">
        <v>310</v>
      </c>
      <c r="B105" s="109" t="s">
        <v>324</v>
      </c>
      <c r="C105" s="99">
        <v>9.32</v>
      </c>
      <c r="D105" s="99" t="s">
        <v>565</v>
      </c>
      <c r="E105" s="100">
        <v>39947</v>
      </c>
      <c r="F105" s="99"/>
      <c r="G105" s="99" t="s">
        <v>152</v>
      </c>
      <c r="H105" s="99" t="s">
        <v>152</v>
      </c>
      <c r="I105" t="s">
        <v>130</v>
      </c>
    </row>
    <row r="106" spans="1:9" hidden="1">
      <c r="A106" s="108" t="s">
        <v>310</v>
      </c>
      <c r="B106" s="109" t="s">
        <v>303</v>
      </c>
      <c r="C106" s="99">
        <v>9.32</v>
      </c>
      <c r="D106" s="99"/>
      <c r="E106" s="99"/>
      <c r="F106" s="99"/>
      <c r="G106" s="99" t="s">
        <v>232</v>
      </c>
      <c r="H106" s="99"/>
      <c r="I106" t="s">
        <v>128</v>
      </c>
    </row>
    <row r="107" spans="1:9" hidden="1">
      <c r="A107" s="108" t="s">
        <v>310</v>
      </c>
      <c r="B107" s="109" t="s">
        <v>325</v>
      </c>
      <c r="C107" s="99">
        <v>9.32</v>
      </c>
      <c r="D107" s="99" t="s">
        <v>565</v>
      </c>
      <c r="E107" s="100">
        <v>39947</v>
      </c>
      <c r="F107" s="99"/>
      <c r="G107" s="99" t="s">
        <v>152</v>
      </c>
      <c r="H107" s="99" t="s">
        <v>152</v>
      </c>
      <c r="I107" t="s">
        <v>128</v>
      </c>
    </row>
    <row r="108" spans="1:9" hidden="1">
      <c r="A108" s="108" t="s">
        <v>310</v>
      </c>
      <c r="B108" s="109" t="s">
        <v>280</v>
      </c>
      <c r="C108" s="99">
        <v>9.32</v>
      </c>
      <c r="D108" s="99" t="s">
        <v>232</v>
      </c>
      <c r="E108" s="99"/>
      <c r="F108" s="99"/>
      <c r="G108" s="99" t="s">
        <v>232</v>
      </c>
      <c r="H108" s="99" t="s">
        <v>152</v>
      </c>
      <c r="I108" t="s">
        <v>128</v>
      </c>
    </row>
    <row r="109" spans="1:9" hidden="1">
      <c r="A109" s="108" t="s">
        <v>310</v>
      </c>
      <c r="B109" s="109" t="s">
        <v>282</v>
      </c>
      <c r="C109" s="99">
        <v>9.32</v>
      </c>
      <c r="D109" s="99" t="s">
        <v>565</v>
      </c>
      <c r="E109" s="100">
        <v>39947</v>
      </c>
      <c r="F109" s="99"/>
      <c r="G109" s="99" t="s">
        <v>152</v>
      </c>
      <c r="H109" s="99" t="s">
        <v>152</v>
      </c>
      <c r="I109" t="s">
        <v>128</v>
      </c>
    </row>
    <row r="110" spans="1:9" hidden="1">
      <c r="A110" s="108" t="s">
        <v>310</v>
      </c>
      <c r="B110" s="109" t="s">
        <v>326</v>
      </c>
      <c r="C110" s="99">
        <v>9.32</v>
      </c>
      <c r="D110" s="99" t="s">
        <v>565</v>
      </c>
      <c r="E110" s="100">
        <v>39947</v>
      </c>
      <c r="F110" s="99"/>
      <c r="G110" s="99" t="s">
        <v>152</v>
      </c>
      <c r="H110" s="99" t="s">
        <v>152</v>
      </c>
      <c r="I110" t="s">
        <v>128</v>
      </c>
    </row>
    <row r="111" spans="1:9" hidden="1">
      <c r="A111" s="108" t="s">
        <v>310</v>
      </c>
      <c r="B111" s="109" t="s">
        <v>301</v>
      </c>
      <c r="C111" s="99">
        <v>9.32</v>
      </c>
      <c r="D111" s="99" t="s">
        <v>565</v>
      </c>
      <c r="E111" s="100">
        <v>39947</v>
      </c>
      <c r="F111" s="99"/>
      <c r="G111" s="99" t="s">
        <v>152</v>
      </c>
      <c r="H111" s="99" t="s">
        <v>152</v>
      </c>
      <c r="I111" t="s">
        <v>128</v>
      </c>
    </row>
    <row r="112" spans="1:9" hidden="1">
      <c r="A112" s="108" t="s">
        <v>310</v>
      </c>
      <c r="B112" s="109" t="s">
        <v>327</v>
      </c>
      <c r="C112" s="99">
        <v>9.32</v>
      </c>
      <c r="D112" s="99" t="s">
        <v>232</v>
      </c>
      <c r="E112" s="99"/>
      <c r="F112" s="99"/>
      <c r="G112" s="99" t="s">
        <v>152</v>
      </c>
      <c r="H112" s="99" t="s">
        <v>232</v>
      </c>
      <c r="I112" t="s">
        <v>128</v>
      </c>
    </row>
    <row r="113" spans="1:9" hidden="1">
      <c r="A113" s="108" t="s">
        <v>310</v>
      </c>
      <c r="B113" s="109" t="s">
        <v>328</v>
      </c>
      <c r="C113" s="99">
        <v>9.32</v>
      </c>
      <c r="D113" s="99" t="s">
        <v>565</v>
      </c>
      <c r="E113" s="100">
        <v>39947</v>
      </c>
      <c r="F113" s="99"/>
      <c r="G113" s="99" t="s">
        <v>152</v>
      </c>
      <c r="H113" s="99" t="s">
        <v>152</v>
      </c>
      <c r="I113" t="s">
        <v>128</v>
      </c>
    </row>
    <row r="114" spans="1:9" hidden="1">
      <c r="A114" s="108" t="s">
        <v>310</v>
      </c>
      <c r="B114" s="109" t="s">
        <v>329</v>
      </c>
      <c r="C114" s="99">
        <v>9.32</v>
      </c>
      <c r="D114" s="99" t="s">
        <v>565</v>
      </c>
      <c r="E114" s="100">
        <v>39947</v>
      </c>
      <c r="F114" s="99"/>
      <c r="G114" s="99" t="s">
        <v>152</v>
      </c>
      <c r="H114" s="99" t="s">
        <v>152</v>
      </c>
      <c r="I114" t="s">
        <v>128</v>
      </c>
    </row>
    <row r="115" spans="1:9" hidden="1">
      <c r="A115" s="108" t="s">
        <v>310</v>
      </c>
      <c r="B115" s="111" t="s">
        <v>42</v>
      </c>
      <c r="C115" s="99">
        <v>9.32</v>
      </c>
      <c r="D115" s="99" t="s">
        <v>565</v>
      </c>
      <c r="E115" s="100">
        <v>39947</v>
      </c>
      <c r="F115" s="99"/>
      <c r="G115" s="99" t="s">
        <v>152</v>
      </c>
      <c r="H115" s="99" t="s">
        <v>152</v>
      </c>
      <c r="I115" t="s">
        <v>130</v>
      </c>
    </row>
    <row r="116" spans="1:9" hidden="1">
      <c r="A116" s="108" t="s">
        <v>310</v>
      </c>
      <c r="B116" s="111" t="s">
        <v>59</v>
      </c>
      <c r="C116" s="99">
        <v>9.32</v>
      </c>
      <c r="D116" s="99" t="s">
        <v>565</v>
      </c>
      <c r="E116" s="100">
        <v>39947</v>
      </c>
      <c r="F116" s="99"/>
      <c r="G116" s="99" t="s">
        <v>152</v>
      </c>
      <c r="H116" s="99" t="s">
        <v>152</v>
      </c>
      <c r="I116" t="s">
        <v>130</v>
      </c>
    </row>
    <row r="117" spans="1:9" hidden="1">
      <c r="A117" s="108" t="s">
        <v>310</v>
      </c>
      <c r="B117" s="111" t="s">
        <v>241</v>
      </c>
      <c r="C117" s="99">
        <v>9.32</v>
      </c>
      <c r="D117" s="99" t="s">
        <v>565</v>
      </c>
      <c r="E117" s="100">
        <v>39947</v>
      </c>
      <c r="F117" s="99"/>
      <c r="G117" s="99" t="s">
        <v>152</v>
      </c>
      <c r="H117" s="99" t="s">
        <v>152</v>
      </c>
      <c r="I117" t="s">
        <v>128</v>
      </c>
    </row>
    <row r="118" spans="1:9" hidden="1">
      <c r="A118" s="108" t="s">
        <v>310</v>
      </c>
      <c r="B118" s="111" t="s">
        <v>48</v>
      </c>
      <c r="C118" s="99">
        <v>9.32</v>
      </c>
      <c r="D118" s="99" t="s">
        <v>565</v>
      </c>
      <c r="E118" s="100">
        <v>39947</v>
      </c>
      <c r="F118" s="99"/>
      <c r="G118" s="99" t="s">
        <v>152</v>
      </c>
      <c r="H118" s="99" t="s">
        <v>152</v>
      </c>
      <c r="I118" t="s">
        <v>127</v>
      </c>
    </row>
    <row r="119" spans="1:9" hidden="1">
      <c r="A119" s="108" t="s">
        <v>310</v>
      </c>
      <c r="B119" s="111" t="s">
        <v>27</v>
      </c>
      <c r="C119" s="99">
        <v>9.32</v>
      </c>
      <c r="D119" s="99"/>
      <c r="E119" s="99"/>
      <c r="F119" s="99"/>
      <c r="G119" s="99"/>
      <c r="H119" s="99" t="s">
        <v>232</v>
      </c>
      <c r="I119" t="s">
        <v>126</v>
      </c>
    </row>
    <row r="120" spans="1:9" hidden="1">
      <c r="A120" s="108" t="s">
        <v>310</v>
      </c>
      <c r="B120" s="111" t="s">
        <v>55</v>
      </c>
      <c r="C120" s="99">
        <v>9.32</v>
      </c>
      <c r="D120" s="99" t="s">
        <v>565</v>
      </c>
      <c r="E120" s="100">
        <v>39947</v>
      </c>
      <c r="F120" s="99"/>
      <c r="G120" s="99" t="s">
        <v>152</v>
      </c>
      <c r="H120" s="99" t="s">
        <v>152</v>
      </c>
      <c r="I120" t="s">
        <v>130</v>
      </c>
    </row>
    <row r="121" spans="1:9" hidden="1">
      <c r="A121" s="108" t="s">
        <v>566</v>
      </c>
      <c r="B121" s="111" t="s">
        <v>288</v>
      </c>
      <c r="C121" s="99">
        <v>13.25</v>
      </c>
      <c r="D121" s="99" t="s">
        <v>78</v>
      </c>
      <c r="E121" s="100">
        <v>39945</v>
      </c>
      <c r="F121" s="99"/>
      <c r="G121" s="99" t="s">
        <v>152</v>
      </c>
      <c r="H121" s="99" t="s">
        <v>232</v>
      </c>
      <c r="I121" t="s">
        <v>132</v>
      </c>
    </row>
    <row r="122" spans="1:9" hidden="1">
      <c r="A122" s="108" t="s">
        <v>566</v>
      </c>
      <c r="B122" s="166" t="s">
        <v>265</v>
      </c>
      <c r="C122" s="99">
        <v>13.25</v>
      </c>
      <c r="D122" s="99" t="s">
        <v>78</v>
      </c>
      <c r="E122" s="100">
        <v>39945</v>
      </c>
      <c r="F122" s="99"/>
      <c r="G122" s="99" t="s">
        <v>152</v>
      </c>
      <c r="H122" s="99" t="s">
        <v>232</v>
      </c>
      <c r="I122" t="s">
        <v>132</v>
      </c>
    </row>
    <row r="123" spans="1:9" hidden="1">
      <c r="A123" s="108" t="s">
        <v>566</v>
      </c>
      <c r="B123" s="166" t="s">
        <v>38</v>
      </c>
      <c r="C123" s="99">
        <v>13.25</v>
      </c>
      <c r="D123" s="99" t="s">
        <v>78</v>
      </c>
      <c r="E123" s="100">
        <v>39945</v>
      </c>
      <c r="F123" s="99"/>
      <c r="G123" s="99" t="s">
        <v>152</v>
      </c>
      <c r="H123" s="99" t="s">
        <v>232</v>
      </c>
      <c r="I123" t="s">
        <v>132</v>
      </c>
    </row>
    <row r="124" spans="1:9">
      <c r="A124" s="108"/>
      <c r="B124" s="166"/>
      <c r="C124" s="99"/>
      <c r="D124" s="99"/>
      <c r="E124" s="99"/>
      <c r="F124" s="99"/>
      <c r="G124" s="99"/>
      <c r="H124" s="99"/>
    </row>
    <row r="125" spans="1:9">
      <c r="A125" s="108"/>
      <c r="B125" s="166"/>
      <c r="C125" s="99"/>
      <c r="D125" s="99"/>
      <c r="E125" s="99"/>
      <c r="F125" s="99"/>
      <c r="G125" s="99"/>
      <c r="H125" s="99"/>
    </row>
    <row r="126" spans="1:9">
      <c r="A126" s="108"/>
      <c r="B126" s="166"/>
      <c r="C126" s="99"/>
      <c r="D126" s="99"/>
      <c r="E126" s="99"/>
      <c r="F126" s="99"/>
      <c r="G126" s="99"/>
      <c r="H126" s="99"/>
    </row>
    <row r="127" spans="1:9">
      <c r="A127" s="108"/>
      <c r="B127" s="166"/>
      <c r="C127" s="99"/>
      <c r="D127" s="99"/>
      <c r="E127" s="99"/>
      <c r="F127" s="99"/>
      <c r="G127" s="99"/>
      <c r="H127" s="99"/>
    </row>
  </sheetData>
  <autoFilter ref="A2:H127">
    <filterColumn colId="5">
      <filters blank="1"/>
    </filterColumn>
    <filterColumn colId="6">
      <filters blank="1"/>
    </filterColumn>
    <filterColumn colId="7">
      <filters blank="1"/>
    </filterColumn>
  </autoFilter>
  <phoneticPr fontId="2" type="noConversion"/>
  <hyperlinks>
    <hyperlink ref="B72" r:id="rId1" tooltip="Caroline Sanders (not yet written)" display="http://www.christs.cam.ac.uk/boatclub/index.php?title=Caroline_Sanders&amp;action=edit&amp;redlink=1"/>
    <hyperlink ref="B73" r:id="rId2" tooltip="Marcel Omachel (not yet written)" display="http://www.christs.cam.ac.uk/boatclub/index.php?title=Marcel_Omachel&amp;action=edit&amp;redlink=1"/>
    <hyperlink ref="B74" r:id="rId3" tooltip="Mike Upton" display="http://www.christs.cam.ac.uk/boatclub/index.php/Mike_Upton"/>
    <hyperlink ref="B75" r:id="rId4" tooltip="Leland Burns (not yet written)" display="http://www.christs.cam.ac.uk/boatclub/index.php?title=Leland_Burns&amp;action=edit&amp;redlink=1"/>
    <hyperlink ref="B76" r:id="rId5" tooltip="Nick Zhang" display="http://www.christs.cam.ac.uk/boatclub/index.php/Nick_Zhang"/>
    <hyperlink ref="B77" r:id="rId6" tooltip="James Pearson" display="http://www.christs.cam.ac.uk/boatclub/index.php/James_Pearson"/>
    <hyperlink ref="B78" r:id="rId7" tooltip="Malte Feldmann" display="http://www.christs.cam.ac.uk/boatclub/index.php/Malte_Feldmann"/>
    <hyperlink ref="B79" r:id="rId8" tooltip="Yohan Sanmugam (not yet written)" display="http://www.christs.cam.ac.uk/boatclub/index.php?title=Yohan_Sanmugam&amp;action=edit&amp;redlink=1"/>
    <hyperlink ref="B80" r:id="rId9" tooltip="Valerie Teh (not yet written)" display="http://www.christs.cam.ac.uk/boatclub/index.php?title=Valerie_Teh&amp;action=edit&amp;redlink=1"/>
    <hyperlink ref="B81" r:id="rId10" tooltip="Lucy Boulding (not yet written)" display="http://www.christs.cam.ac.uk/boatclub/index.php?title=Lucy_Boulding&amp;action=edit&amp;redlink=1"/>
    <hyperlink ref="B82" r:id="rId11" tooltip="Charlotte Smith (not yet written)" display="http://www.christs.cam.ac.uk/boatclub/index.php?title=Charlotte_Smith&amp;action=edit&amp;redlink=1"/>
    <hyperlink ref="B83" r:id="rId12" tooltip="Rebecca Hutichinson (not yet written)" display="http://www.christs.cam.ac.uk/boatclub/index.php?title=Rebecca_Hutichinson&amp;action=edit&amp;redlink=1"/>
    <hyperlink ref="B84" r:id="rId13" tooltip="Fran Knight (not yet written)" display="http://www.christs.cam.ac.uk/boatclub/index.php?title=Fran_Knight&amp;action=edit&amp;redlink=1"/>
    <hyperlink ref="B85" r:id="rId14" tooltip="Holly Braine (not yet written)" display="http://www.christs.cam.ac.uk/boatclub/index.php?title=Holly_Braine&amp;action=edit&amp;redlink=1"/>
    <hyperlink ref="B86" r:id="rId15" tooltip="Lucy Griffin (not yet written)" display="http://www.christs.cam.ac.uk/boatclub/index.php?title=Lucy_Griffin&amp;action=edit&amp;redlink=1"/>
    <hyperlink ref="B87" r:id="rId16" tooltip="Sabrina Bezzaa (not yet written)" display="http://www.christs.cam.ac.uk/boatclub/index.php?title=Sabrina_Bezzaa&amp;action=edit&amp;redlink=1"/>
    <hyperlink ref="B88" r:id="rId17" tooltip="Rachael Stubbins (not yet written)" display="http://www.christs.cam.ac.uk/boatclub/index.php?title=Rachael_Stubbins&amp;action=edit&amp;redlink=1"/>
    <hyperlink ref="B90" r:id="rId18" tooltip="Ali Donaghy (not yet written)" display="http://www.christs.cam.ac.uk/boatclub/index.php?title=Ali_Donaghy&amp;action=edit&amp;redlink=1"/>
    <hyperlink ref="B91" r:id="rId19" tooltip="Mike Howe (not yet written)" display="http://www.christs.cam.ac.uk/boatclub/index.php?title=Mike_Howe&amp;action=edit&amp;redlink=1"/>
    <hyperlink ref="B92" r:id="rId20" tooltip="In-Yong Hwang (not yet written)" display="http://www.christs.cam.ac.uk/boatclub/index.php?title=In-Yong_Hwang&amp;action=edit&amp;redlink=1"/>
    <hyperlink ref="B93" r:id="rId21" tooltip="Xi Jin (not yet written)" display="http://www.christs.cam.ac.uk/boatclub/index.php?title=Xi_Jin&amp;action=edit&amp;redlink=1"/>
    <hyperlink ref="B94" r:id="rId22" tooltip="Spencer Ong (not yet written)" display="http://www.christs.cam.ac.uk/boatclub/index.php?title=Spencer_Ong&amp;action=edit&amp;redlink=1"/>
    <hyperlink ref="B95" r:id="rId23" tooltip="David Garner (not yet written)" display="http://www.christs.cam.ac.uk/boatclub/index.php?title=David_Garner&amp;action=edit&amp;redlink=1"/>
    <hyperlink ref="B96" r:id="rId24" tooltip="Kasim Khorasanee (not yet written)" display="http://www.christs.cam.ac.uk/boatclub/index.php?title=Kasim_Khorasanee&amp;action=edit&amp;redlink=1"/>
    <hyperlink ref="B97" r:id="rId25" tooltip="Qasim Gulamhusein (not yet written)" display="http://www.christs.cam.ac.uk/boatclub/index.php?title=Qasim_Gulamhusein&amp;action=edit&amp;redlink=1"/>
    <hyperlink ref="B98" r:id="rId26" tooltip="Lizzie Wann (not yet written)" display="http://www.christs.cam.ac.uk/boatclub/index.php?title=Lizzie_Wann&amp;action=edit&amp;redlink=1"/>
    <hyperlink ref="B99" r:id="rId27" tooltip="Amanda Foan (not yet written)" display="http://www.christs.cam.ac.uk/boatclub/index.php?title=Amanda_Foan&amp;action=edit&amp;redlink=1"/>
    <hyperlink ref="B100" r:id="rId28" tooltip="Charlotte Kendall (not yet written)" display="http://www.christs.cam.ac.uk/boatclub/index.php?title=Charlotte_Kendall&amp;action=edit&amp;redlink=1"/>
    <hyperlink ref="B101" r:id="rId29" tooltip="Li Ling Quek (not yet written)" display="http://www.christs.cam.ac.uk/boatclub/index.php?title=Li_Ling_Quek&amp;action=edit&amp;redlink=1"/>
    <hyperlink ref="B102" r:id="rId30" tooltip="Emmie Hodges (not yet written)" display="http://www.christs.cam.ac.uk/boatclub/index.php?title=Emmie_Hodges&amp;action=edit&amp;redlink=1"/>
    <hyperlink ref="B103" r:id="rId31" tooltip="Sarah de Lacy (not yet written)" display="http://www.christs.cam.ac.uk/boatclub/index.php?title=Sarah_de_Lacy&amp;action=edit&amp;redlink=1"/>
    <hyperlink ref="B104" r:id="rId32" tooltip="Jo Hardley (not yet written)" display="http://www.christs.cam.ac.uk/boatclub/index.php?title=Jo_Hardley&amp;action=edit&amp;redlink=1"/>
    <hyperlink ref="B105" r:id="rId33" tooltip="Farhana Ahmadi (not yet written)" display="http://www.christs.cam.ac.uk/boatclub/index.php?title=Farhana_Ahmadi&amp;action=edit&amp;redlink=1"/>
    <hyperlink ref="B106" r:id="rId34" tooltip="Abarna Ramanathan (not yet written)" display="http://www.christs.cam.ac.uk/boatclub/index.php?title=Abarna_Ramanathan&amp;action=edit&amp;redlink=1"/>
    <hyperlink ref="B107" r:id="rId35" tooltip="Animish Sivaramakrishnan (not yet written)" display="http://www.christs.cam.ac.uk/boatclub/index.php?title=Animish_Sivaramakrishnan&amp;action=edit&amp;redlink=1"/>
    <hyperlink ref="B108" r:id="rId36" tooltip="Jonny Bassett (not yet written)" display="http://www.christs.cam.ac.uk/boatclub/index.php?title=Jonny_Bassett&amp;action=edit&amp;redlink=1"/>
    <hyperlink ref="B109" r:id="rId37" tooltip="Seth Bresnett" display="http://www.christs.cam.ac.uk/boatclub/index.php/Seth_Bresnett"/>
    <hyperlink ref="B110" r:id="rId38" tooltip="Michael Furman (not yet written)" display="http://www.christs.cam.ac.uk/boatclub/index.php?title=Michael_Furman&amp;action=edit&amp;redlink=1"/>
    <hyperlink ref="B111" r:id="rId39" tooltip="Raymond Li (not yet written)" display="http://www.christs.cam.ac.uk/boatclub/index.php?title=Raymond_Li&amp;action=edit&amp;redlink=1"/>
    <hyperlink ref="B112" r:id="rId40" tooltip="Andy Pushakk (not yet written)" display="http://www.christs.cam.ac.uk/boatclub/index.php?title=Andy_Pushakk&amp;action=edit&amp;redlink=1"/>
    <hyperlink ref="B113" r:id="rId41" tooltip="Alex Ngoi (not yet written)" display="http://www.christs.cam.ac.uk/boatclub/index.php?title=Alex_Ngoi&amp;action=edit&amp;redlink=1"/>
    <hyperlink ref="B114" r:id="rId42" tooltip="Oliver Staves (not yet written)" display="http://www.christs.cam.ac.uk/boatclub/index.php?title=Oliver_Staves&amp;action=edit&amp;redlink=1"/>
    <hyperlink ref="B89" r:id="rId43" tooltip="Lucas Perez-Trujillo (not yet written)" display="http://www.christs.cam.ac.uk/boatclub/index.php?title=Lucas_Perez-Trujillo&amp;action=edit&amp;redlink=1"/>
    <hyperlink ref="O46" r:id="rId44" tooltip="Caroline Sanders (not yet written)" display="http://www.christs.cam.ac.uk/boatclub/index.php?title=Caroline_Sanders&amp;action=edit&amp;redlink=1"/>
    <hyperlink ref="O47" r:id="rId45" tooltip="Marcel Omachel (not yet written)" display="http://www.christs.cam.ac.uk/boatclub/index.php?title=Marcel_Omachel&amp;action=edit&amp;redlink=1"/>
    <hyperlink ref="O48" r:id="rId46" tooltip="Mike Upton" display="http://www.christs.cam.ac.uk/boatclub/index.php/Mike_Upton"/>
    <hyperlink ref="O49" r:id="rId47" tooltip="Leland Burns (not yet written)" display="http://www.christs.cam.ac.uk/boatclub/index.php?title=Leland_Burns&amp;action=edit&amp;redlink=1"/>
    <hyperlink ref="O50" r:id="rId48" tooltip="Nick Zhang" display="http://www.christs.cam.ac.uk/boatclub/index.php/Nick_Zhang"/>
    <hyperlink ref="O51" r:id="rId49" tooltip="James Pearson" display="http://www.christs.cam.ac.uk/boatclub/index.php/James_Pearson"/>
    <hyperlink ref="O53" r:id="rId50" tooltip="Yohan Sanmugam (not yet written)" display="http://www.christs.cam.ac.uk/boatclub/index.php?title=Yohan_Sanmugam&amp;action=edit&amp;redlink=1"/>
    <hyperlink ref="O56" r:id="rId51" tooltip="Mike Howe (not yet written)" display="http://www.christs.cam.ac.uk/boatclub/index.php?title=Mike_Howe&amp;action=edit&amp;redlink=1"/>
    <hyperlink ref="O58" r:id="rId52" tooltip="Xi Jin (not yet written)" display="http://www.christs.cam.ac.uk/boatclub/index.php?title=Xi_Jin&amp;action=edit&amp;redlink=1"/>
    <hyperlink ref="O59" r:id="rId53" tooltip="Spencer Ong (not yet written)" display="http://www.christs.cam.ac.uk/boatclub/index.php?title=Spencer_Ong&amp;action=edit&amp;redlink=1"/>
    <hyperlink ref="O60" r:id="rId54" tooltip="David Garner (not yet written)" display="http://www.christs.cam.ac.uk/boatclub/index.php?title=David_Garner&amp;action=edit&amp;redlink=1"/>
    <hyperlink ref="O63" r:id="rId55" tooltip="Jo Hardley (not yet written)" display="http://www.christs.cam.ac.uk/boatclub/index.php?title=Jo_Hardley&amp;action=edit&amp;redlink=1"/>
    <hyperlink ref="O66" r:id="rId56" tooltip="Jonny Bassett (not yet written)" display="http://www.christs.cam.ac.uk/boatclub/index.php?title=Jonny_Bassett&amp;action=edit&amp;redlink=1"/>
    <hyperlink ref="O67" r:id="rId57" tooltip="Seth Bresnett" display="http://www.christs.cam.ac.uk/boatclub/index.php/Seth_Bresnett"/>
    <hyperlink ref="O68" r:id="rId58" tooltip="Michael Furman (not yet written)" display="http://www.christs.cam.ac.uk/boatclub/index.php?title=Michael_Furman&amp;action=edit&amp;redlink=1"/>
    <hyperlink ref="O70" r:id="rId59" tooltip="Andy Pushakk (not yet written)" display="http://www.christs.cam.ac.uk/boatclub/index.php?title=Andy_Pushakk&amp;action=edit&amp;redlink=1"/>
    <hyperlink ref="O71" r:id="rId60" tooltip="Alex Ngoi (not yet written)" display="http://www.christs.cam.ac.uk/boatclub/index.php?title=Alex_Ngoi&amp;action=edit&amp;redlink=1"/>
  </hyperlinks>
  <pageMargins left="0.75" right="0.75" top="1" bottom="1" header="0.5" footer="0.5"/>
  <pageSetup paperSize="9" orientation="portrait" horizontalDpi="4294967293" verticalDpi="0" r:id="rId61"/>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40"/>
  </sheetPr>
  <dimension ref="A2:J37"/>
  <sheetViews>
    <sheetView zoomScale="70" workbookViewId="0">
      <selection activeCell="J6" sqref="A4:J6"/>
    </sheetView>
  </sheetViews>
  <sheetFormatPr defaultRowHeight="12.75"/>
  <cols>
    <col min="2" max="2" width="10.28515625" bestFit="1" customWidth="1"/>
    <col min="3" max="3" width="10.140625" customWidth="1"/>
    <col min="5" max="5" width="10.28515625" bestFit="1" customWidth="1"/>
    <col min="6" max="6" width="33.140625" bestFit="1" customWidth="1"/>
    <col min="7" max="7" width="24.85546875" bestFit="1" customWidth="1"/>
    <col min="8" max="8" width="10.7109375" bestFit="1" customWidth="1"/>
    <col min="9" max="9" width="8.28515625" bestFit="1" customWidth="1"/>
    <col min="10" max="10" width="27.42578125" customWidth="1"/>
  </cols>
  <sheetData>
    <row r="2" spans="1:10">
      <c r="A2" s="337" t="s">
        <v>203</v>
      </c>
      <c r="B2" s="337"/>
      <c r="C2" s="337"/>
      <c r="D2" s="332" t="s">
        <v>12</v>
      </c>
      <c r="E2" s="332" t="s">
        <v>193</v>
      </c>
      <c r="F2" s="332" t="s">
        <v>191</v>
      </c>
      <c r="G2" s="332" t="s">
        <v>190</v>
      </c>
      <c r="H2" s="332" t="s">
        <v>192</v>
      </c>
      <c r="I2" s="334" t="s">
        <v>19</v>
      </c>
      <c r="J2" s="335" t="s">
        <v>206</v>
      </c>
    </row>
    <row r="3" spans="1:10">
      <c r="A3" s="58" t="s">
        <v>204</v>
      </c>
      <c r="B3" s="58" t="s">
        <v>1</v>
      </c>
      <c r="C3" s="58" t="s">
        <v>205</v>
      </c>
      <c r="D3" s="333"/>
      <c r="E3" s="333"/>
      <c r="F3" s="333"/>
      <c r="G3" s="333"/>
      <c r="H3" s="333"/>
      <c r="I3" s="333"/>
      <c r="J3" s="336"/>
    </row>
    <row r="4" spans="1:10">
      <c r="A4" s="80"/>
      <c r="B4" s="122"/>
      <c r="C4" s="81"/>
      <c r="D4" s="83"/>
      <c r="E4" s="101"/>
      <c r="F4" s="84"/>
      <c r="G4" s="84"/>
      <c r="H4" s="84"/>
      <c r="I4" s="85"/>
      <c r="J4" s="86"/>
    </row>
    <row r="5" spans="1:10">
      <c r="A5" s="67"/>
      <c r="B5" s="67"/>
      <c r="C5" s="82"/>
      <c r="D5" s="87"/>
      <c r="E5" s="68"/>
      <c r="F5" s="68"/>
      <c r="G5" s="68"/>
      <c r="H5" s="68"/>
      <c r="I5" s="73"/>
      <c r="J5" s="72"/>
    </row>
    <row r="6" spans="1:10">
      <c r="A6" s="67"/>
      <c r="B6" s="123"/>
      <c r="C6" s="82"/>
      <c r="D6" s="87"/>
      <c r="E6" s="92"/>
      <c r="F6" s="68"/>
      <c r="G6" s="68"/>
      <c r="H6" s="68"/>
      <c r="I6" s="73"/>
      <c r="J6" s="72"/>
    </row>
    <row r="7" spans="1:10">
      <c r="A7" s="67"/>
      <c r="B7" s="67"/>
      <c r="C7" s="82"/>
      <c r="D7" s="87"/>
      <c r="E7" s="68"/>
      <c r="F7" s="68"/>
      <c r="G7" s="68"/>
      <c r="H7" s="68"/>
      <c r="I7" s="73"/>
      <c r="J7" s="72"/>
    </row>
    <row r="8" spans="1:10">
      <c r="A8" s="67"/>
      <c r="B8" s="67"/>
      <c r="C8" s="82"/>
      <c r="D8" s="87"/>
      <c r="E8" s="68"/>
      <c r="F8" s="68"/>
      <c r="G8" s="68"/>
      <c r="H8" s="68"/>
      <c r="I8" s="73"/>
      <c r="J8" s="72"/>
    </row>
    <row r="9" spans="1:10">
      <c r="A9" s="67"/>
      <c r="B9" s="67"/>
      <c r="C9" s="82"/>
      <c r="D9" s="87"/>
      <c r="E9" s="68"/>
      <c r="F9" s="68"/>
      <c r="G9" s="68"/>
      <c r="H9" s="68"/>
      <c r="I9" s="73"/>
      <c r="J9" s="72"/>
    </row>
    <row r="10" spans="1:10">
      <c r="A10" s="67"/>
      <c r="B10" s="67"/>
      <c r="C10" s="82"/>
      <c r="D10" s="87"/>
      <c r="E10" s="68"/>
      <c r="F10" s="68"/>
      <c r="G10" s="68"/>
      <c r="H10" s="68"/>
      <c r="I10" s="73"/>
      <c r="J10" s="72"/>
    </row>
    <row r="11" spans="1:10">
      <c r="A11" s="67"/>
      <c r="B11" s="67"/>
      <c r="C11" s="82"/>
      <c r="D11" s="87"/>
      <c r="E11" s="68"/>
      <c r="F11" s="68"/>
      <c r="G11" s="68"/>
      <c r="H11" s="68"/>
      <c r="I11" s="73"/>
      <c r="J11" s="72"/>
    </row>
    <row r="12" spans="1:10">
      <c r="A12" s="67"/>
      <c r="B12" s="67"/>
      <c r="C12" s="82"/>
      <c r="D12" s="87"/>
      <c r="E12" s="68"/>
      <c r="F12" s="68"/>
      <c r="G12" s="68"/>
      <c r="H12" s="68"/>
      <c r="I12" s="73"/>
      <c r="J12" s="72"/>
    </row>
    <row r="13" spans="1:10">
      <c r="A13" s="67"/>
      <c r="B13" s="67"/>
      <c r="C13" s="82"/>
      <c r="D13" s="87"/>
      <c r="E13" s="68"/>
      <c r="F13" s="68"/>
      <c r="G13" s="68"/>
      <c r="H13" s="68"/>
      <c r="I13" s="73"/>
      <c r="J13" s="72"/>
    </row>
    <row r="14" spans="1:10">
      <c r="A14" s="67"/>
      <c r="B14" s="67"/>
      <c r="C14" s="82"/>
      <c r="D14" s="87"/>
      <c r="E14" s="68"/>
      <c r="F14" s="68"/>
      <c r="G14" s="68"/>
      <c r="H14" s="68"/>
      <c r="I14" s="73"/>
      <c r="J14" s="72"/>
    </row>
    <row r="15" spans="1:10">
      <c r="A15" s="67"/>
      <c r="B15" s="67"/>
      <c r="C15" s="82"/>
      <c r="D15" s="87"/>
      <c r="E15" s="68"/>
      <c r="F15" s="68"/>
      <c r="G15" s="68"/>
      <c r="H15" s="68"/>
      <c r="I15" s="73"/>
      <c r="J15" s="72"/>
    </row>
    <row r="16" spans="1:10">
      <c r="A16" s="67"/>
      <c r="B16" s="67"/>
      <c r="C16" s="82"/>
      <c r="D16" s="87"/>
      <c r="E16" s="68"/>
      <c r="F16" s="68"/>
      <c r="G16" s="68"/>
      <c r="H16" s="68"/>
      <c r="I16" s="73"/>
      <c r="J16" s="72"/>
    </row>
    <row r="17" spans="1:10">
      <c r="A17" s="67"/>
      <c r="B17" s="67"/>
      <c r="C17" s="82"/>
      <c r="D17" s="87"/>
      <c r="E17" s="68"/>
      <c r="F17" s="68"/>
      <c r="G17" s="68"/>
      <c r="H17" s="68"/>
      <c r="I17" s="73"/>
      <c r="J17" s="72"/>
    </row>
    <row r="18" spans="1:10">
      <c r="A18" s="67"/>
      <c r="B18" s="67"/>
      <c r="C18" s="82"/>
      <c r="D18" s="87"/>
      <c r="E18" s="68"/>
      <c r="F18" s="68"/>
      <c r="G18" s="68"/>
      <c r="H18" s="68"/>
      <c r="I18" s="73"/>
      <c r="J18" s="72"/>
    </row>
    <row r="19" spans="1:10">
      <c r="A19" s="67"/>
      <c r="B19" s="67"/>
      <c r="C19" s="82"/>
      <c r="D19" s="87"/>
      <c r="E19" s="68"/>
      <c r="F19" s="68"/>
      <c r="G19" s="68"/>
      <c r="H19" s="68"/>
      <c r="I19" s="73"/>
      <c r="J19" s="72"/>
    </row>
    <row r="20" spans="1:10">
      <c r="A20" s="67"/>
      <c r="B20" s="67"/>
      <c r="C20" s="82"/>
      <c r="D20" s="87"/>
      <c r="E20" s="68"/>
      <c r="F20" s="68"/>
      <c r="G20" s="68"/>
      <c r="H20" s="68"/>
      <c r="I20" s="73"/>
      <c r="J20" s="72"/>
    </row>
    <row r="21" spans="1:10">
      <c r="A21" s="67"/>
      <c r="B21" s="67"/>
      <c r="C21" s="82"/>
      <c r="D21" s="87"/>
      <c r="E21" s="68"/>
      <c r="F21" s="68"/>
      <c r="G21" s="68"/>
      <c r="H21" s="68"/>
      <c r="I21" s="73"/>
      <c r="J21" s="72"/>
    </row>
    <row r="22" spans="1:10">
      <c r="A22" s="67"/>
      <c r="B22" s="67"/>
      <c r="C22" s="82"/>
      <c r="D22" s="87"/>
      <c r="E22" s="68"/>
      <c r="F22" s="68"/>
      <c r="G22" s="68"/>
      <c r="H22" s="68"/>
      <c r="I22" s="73"/>
      <c r="J22" s="72"/>
    </row>
    <row r="23" spans="1:10">
      <c r="A23" s="67"/>
      <c r="B23" s="67"/>
      <c r="C23" s="82"/>
      <c r="D23" s="87"/>
      <c r="E23" s="68"/>
      <c r="F23" s="68"/>
      <c r="G23" s="68"/>
      <c r="H23" s="68"/>
      <c r="I23" s="73"/>
      <c r="J23" s="72"/>
    </row>
    <row r="24" spans="1:10">
      <c r="A24" s="67"/>
      <c r="B24" s="67"/>
      <c r="C24" s="82"/>
      <c r="D24" s="87"/>
      <c r="E24" s="68"/>
      <c r="F24" s="68"/>
      <c r="G24" s="68"/>
      <c r="H24" s="68"/>
      <c r="I24" s="73"/>
      <c r="J24" s="72"/>
    </row>
    <row r="25" spans="1:10">
      <c r="A25" s="67"/>
      <c r="B25" s="67"/>
      <c r="C25" s="82"/>
      <c r="D25" s="87"/>
      <c r="E25" s="68"/>
      <c r="F25" s="68"/>
      <c r="G25" s="68"/>
      <c r="H25" s="68"/>
      <c r="I25" s="73"/>
      <c r="J25" s="72"/>
    </row>
    <row r="26" spans="1:10">
      <c r="A26" s="67"/>
      <c r="B26" s="67"/>
      <c r="C26" s="82"/>
      <c r="D26" s="87"/>
      <c r="E26" s="68"/>
      <c r="F26" s="68"/>
      <c r="G26" s="68"/>
      <c r="H26" s="68"/>
      <c r="I26" s="73"/>
      <c r="J26" s="72"/>
    </row>
    <row r="27" spans="1:10">
      <c r="A27" s="67"/>
      <c r="B27" s="67"/>
      <c r="C27" s="82"/>
      <c r="D27" s="87"/>
      <c r="E27" s="68"/>
      <c r="F27" s="68"/>
      <c r="G27" s="68"/>
      <c r="H27" s="68"/>
      <c r="I27" s="73"/>
      <c r="J27" s="72"/>
    </row>
    <row r="28" spans="1:10">
      <c r="A28" s="67"/>
      <c r="B28" s="67"/>
      <c r="C28" s="82"/>
      <c r="D28" s="87"/>
      <c r="E28" s="68"/>
      <c r="F28" s="68"/>
      <c r="G28" s="68"/>
      <c r="H28" s="68"/>
      <c r="I28" s="73"/>
      <c r="J28" s="72"/>
    </row>
    <row r="29" spans="1:10">
      <c r="A29" s="67"/>
      <c r="B29" s="67"/>
      <c r="C29" s="82"/>
      <c r="D29" s="87"/>
      <c r="E29" s="68"/>
      <c r="F29" s="68"/>
      <c r="G29" s="68"/>
      <c r="H29" s="68"/>
      <c r="I29" s="73"/>
      <c r="J29" s="72"/>
    </row>
    <row r="30" spans="1:10">
      <c r="A30" s="67"/>
      <c r="B30" s="67"/>
      <c r="C30" s="82"/>
      <c r="D30" s="87"/>
      <c r="E30" s="68"/>
      <c r="F30" s="68"/>
      <c r="G30" s="68"/>
      <c r="H30" s="68"/>
      <c r="I30" s="73"/>
      <c r="J30" s="72"/>
    </row>
    <row r="31" spans="1:10">
      <c r="A31" s="67"/>
      <c r="B31" s="67"/>
      <c r="C31" s="82"/>
      <c r="D31" s="87"/>
      <c r="E31" s="68"/>
      <c r="F31" s="68"/>
      <c r="G31" s="68"/>
      <c r="H31" s="68"/>
      <c r="I31" s="73"/>
      <c r="J31" s="72"/>
    </row>
    <row r="32" spans="1:10">
      <c r="A32" s="67"/>
      <c r="B32" s="67"/>
      <c r="C32" s="82"/>
      <c r="D32" s="87"/>
      <c r="E32" s="68"/>
      <c r="F32" s="68"/>
      <c r="G32" s="68"/>
      <c r="H32" s="68"/>
      <c r="I32" s="73"/>
      <c r="J32" s="72"/>
    </row>
    <row r="33" spans="1:10">
      <c r="A33" s="67"/>
      <c r="B33" s="67"/>
      <c r="C33" s="82"/>
      <c r="D33" s="87"/>
      <c r="E33" s="68"/>
      <c r="F33" s="68"/>
      <c r="G33" s="68"/>
      <c r="H33" s="68"/>
      <c r="I33" s="73"/>
      <c r="J33" s="72"/>
    </row>
    <row r="34" spans="1:10">
      <c r="A34" s="67"/>
      <c r="B34" s="67"/>
      <c r="C34" s="82"/>
      <c r="D34" s="87"/>
      <c r="E34" s="68"/>
      <c r="F34" s="68"/>
      <c r="G34" s="68"/>
      <c r="H34" s="68"/>
      <c r="I34" s="73"/>
      <c r="J34" s="72"/>
    </row>
    <row r="35" spans="1:10">
      <c r="A35" s="67"/>
      <c r="B35" s="67"/>
      <c r="C35" s="82"/>
      <c r="D35" s="87"/>
      <c r="E35" s="68"/>
      <c r="F35" s="68"/>
      <c r="G35" s="68"/>
      <c r="H35" s="68"/>
      <c r="I35" s="73"/>
      <c r="J35" s="72"/>
    </row>
    <row r="36" spans="1:10" ht="13.5" thickBot="1"/>
    <row r="37" spans="1:10" ht="13.5" thickTop="1">
      <c r="A37" s="32" t="s">
        <v>13</v>
      </c>
      <c r="I37" s="88">
        <f>SUM(I4:I35)</f>
        <v>0</v>
      </c>
    </row>
  </sheetData>
  <mergeCells count="8">
    <mergeCell ref="G2:G3"/>
    <mergeCell ref="H2:H3"/>
    <mergeCell ref="I2:I3"/>
    <mergeCell ref="J2:J3"/>
    <mergeCell ref="A2:C2"/>
    <mergeCell ref="D2:D3"/>
    <mergeCell ref="E2:E3"/>
    <mergeCell ref="F2:F3"/>
  </mergeCells>
  <phoneticPr fontId="2" type="noConversion"/>
  <pageMargins left="0.75" right="0.75" top="1" bottom="1" header="0.5" footer="0.5"/>
  <pageSetup paperSize="9" orientation="portrait" horizontalDpi="4294967293" verticalDpi="0" r:id="rId1"/>
  <headerFooter alignWithMargins="0"/>
</worksheet>
</file>

<file path=xl/worksheets/sheet6.xml><?xml version="1.0" encoding="utf-8"?>
<worksheet xmlns="http://schemas.openxmlformats.org/spreadsheetml/2006/main" xmlns:r="http://schemas.openxmlformats.org/officeDocument/2006/relationships">
  <sheetPr enableFormatConditionsCalculation="0">
    <tabColor indexed="61"/>
  </sheetPr>
  <dimension ref="A2:J37"/>
  <sheetViews>
    <sheetView zoomScale="70" workbookViewId="0">
      <selection activeCell="N56" sqref="N56"/>
    </sheetView>
  </sheetViews>
  <sheetFormatPr defaultRowHeight="12.75"/>
  <cols>
    <col min="3" max="3" width="10.42578125" bestFit="1" customWidth="1"/>
    <col min="6" max="6" width="27.42578125" customWidth="1"/>
    <col min="7" max="7" width="10" bestFit="1" customWidth="1"/>
    <col min="8" max="8" width="10.7109375" bestFit="1" customWidth="1"/>
    <col min="9" max="9" width="7.42578125" bestFit="1" customWidth="1"/>
    <col min="10" max="10" width="27.42578125" customWidth="1"/>
  </cols>
  <sheetData>
    <row r="2" spans="1:10">
      <c r="A2" s="337" t="s">
        <v>203</v>
      </c>
      <c r="B2" s="337"/>
      <c r="C2" s="337"/>
      <c r="D2" s="332" t="s">
        <v>12</v>
      </c>
      <c r="E2" s="332" t="s">
        <v>193</v>
      </c>
      <c r="F2" s="332" t="s">
        <v>191</v>
      </c>
      <c r="G2" s="332" t="s">
        <v>190</v>
      </c>
      <c r="H2" s="332" t="s">
        <v>192</v>
      </c>
      <c r="I2" s="334" t="s">
        <v>19</v>
      </c>
      <c r="J2" s="335" t="s">
        <v>206</v>
      </c>
    </row>
    <row r="3" spans="1:10">
      <c r="A3" s="58" t="s">
        <v>204</v>
      </c>
      <c r="B3" s="58" t="s">
        <v>1</v>
      </c>
      <c r="C3" s="58" t="s">
        <v>205</v>
      </c>
      <c r="D3" s="333"/>
      <c r="E3" s="333"/>
      <c r="F3" s="333"/>
      <c r="G3" s="333"/>
      <c r="H3" s="333"/>
      <c r="I3" s="333"/>
      <c r="J3" s="336"/>
    </row>
    <row r="4" spans="1:10">
      <c r="A4" s="80"/>
      <c r="B4" s="80"/>
      <c r="C4" s="81"/>
      <c r="D4" s="83"/>
      <c r="E4" s="84"/>
      <c r="F4" s="84"/>
      <c r="G4" s="84"/>
      <c r="H4" s="84"/>
      <c r="I4" s="85"/>
      <c r="J4" s="86"/>
    </row>
    <row r="5" spans="1:10">
      <c r="A5" s="67"/>
      <c r="B5" s="67"/>
      <c r="C5" s="82"/>
      <c r="D5" s="87"/>
      <c r="E5" s="68"/>
      <c r="F5" s="68"/>
      <c r="G5" s="68"/>
      <c r="H5" s="68"/>
      <c r="I5" s="73"/>
      <c r="J5" s="72"/>
    </row>
    <row r="6" spans="1:10">
      <c r="A6" s="67"/>
      <c r="B6" s="67"/>
      <c r="C6" s="82"/>
      <c r="D6" s="87"/>
      <c r="E6" s="68"/>
      <c r="F6" s="68"/>
      <c r="G6" s="68"/>
      <c r="H6" s="68"/>
      <c r="I6" s="73"/>
      <c r="J6" s="72"/>
    </row>
    <row r="7" spans="1:10">
      <c r="A7" s="67"/>
      <c r="B7" s="67"/>
      <c r="C7" s="82"/>
      <c r="D7" s="87"/>
      <c r="E7" s="68"/>
      <c r="F7" s="68"/>
      <c r="G7" s="68"/>
      <c r="H7" s="68"/>
      <c r="I7" s="73"/>
      <c r="J7" s="72"/>
    </row>
    <row r="8" spans="1:10">
      <c r="A8" s="67"/>
      <c r="B8" s="67"/>
      <c r="C8" s="82"/>
      <c r="D8" s="87"/>
      <c r="E8" s="68"/>
      <c r="F8" s="68"/>
      <c r="G8" s="68"/>
      <c r="H8" s="68"/>
      <c r="I8" s="73"/>
      <c r="J8" s="72"/>
    </row>
    <row r="9" spans="1:10">
      <c r="A9" s="67"/>
      <c r="B9" s="67"/>
      <c r="C9" s="82"/>
      <c r="D9" s="87"/>
      <c r="E9" s="68"/>
      <c r="F9" s="68"/>
      <c r="G9" s="68"/>
      <c r="H9" s="68"/>
      <c r="I9" s="73"/>
      <c r="J9" s="72"/>
    </row>
    <row r="10" spans="1:10">
      <c r="A10" s="67"/>
      <c r="B10" s="67"/>
      <c r="C10" s="82"/>
      <c r="D10" s="87"/>
      <c r="E10" s="68"/>
      <c r="F10" s="68"/>
      <c r="G10" s="68"/>
      <c r="H10" s="68"/>
      <c r="I10" s="73"/>
      <c r="J10" s="72"/>
    </row>
    <row r="11" spans="1:10">
      <c r="A11" s="67"/>
      <c r="B11" s="67"/>
      <c r="C11" s="82"/>
      <c r="D11" s="87"/>
      <c r="E11" s="68"/>
      <c r="F11" s="68"/>
      <c r="G11" s="68"/>
      <c r="H11" s="68"/>
      <c r="I11" s="73"/>
      <c r="J11" s="72"/>
    </row>
    <row r="12" spans="1:10">
      <c r="A12" s="67"/>
      <c r="B12" s="67"/>
      <c r="C12" s="82"/>
      <c r="D12" s="87"/>
      <c r="E12" s="68"/>
      <c r="F12" s="68"/>
      <c r="G12" s="68"/>
      <c r="H12" s="68"/>
      <c r="I12" s="73"/>
      <c r="J12" s="72"/>
    </row>
    <row r="13" spans="1:10">
      <c r="A13" s="67"/>
      <c r="B13" s="67"/>
      <c r="C13" s="82"/>
      <c r="D13" s="87"/>
      <c r="E13" s="68"/>
      <c r="F13" s="68"/>
      <c r="G13" s="68"/>
      <c r="H13" s="68"/>
      <c r="I13" s="73"/>
      <c r="J13" s="72"/>
    </row>
    <row r="14" spans="1:10">
      <c r="A14" s="67"/>
      <c r="B14" s="67"/>
      <c r="C14" s="82"/>
      <c r="D14" s="87"/>
      <c r="E14" s="68"/>
      <c r="F14" s="68"/>
      <c r="G14" s="68"/>
      <c r="H14" s="68"/>
      <c r="I14" s="73"/>
      <c r="J14" s="72"/>
    </row>
    <row r="15" spans="1:10">
      <c r="A15" s="67"/>
      <c r="B15" s="67"/>
      <c r="C15" s="82"/>
      <c r="D15" s="87"/>
      <c r="E15" s="68"/>
      <c r="F15" s="68"/>
      <c r="G15" s="68"/>
      <c r="H15" s="68"/>
      <c r="I15" s="73"/>
      <c r="J15" s="72"/>
    </row>
    <row r="16" spans="1:10">
      <c r="A16" s="67"/>
      <c r="B16" s="67"/>
      <c r="C16" s="82"/>
      <c r="D16" s="87"/>
      <c r="E16" s="68"/>
      <c r="F16" s="68"/>
      <c r="G16" s="68"/>
      <c r="H16" s="68"/>
      <c r="I16" s="73"/>
      <c r="J16" s="72"/>
    </row>
    <row r="17" spans="1:10">
      <c r="A17" s="67"/>
      <c r="B17" s="67"/>
      <c r="C17" s="82"/>
      <c r="D17" s="87"/>
      <c r="E17" s="68"/>
      <c r="F17" s="68"/>
      <c r="G17" s="68"/>
      <c r="H17" s="68"/>
      <c r="I17" s="73"/>
      <c r="J17" s="72"/>
    </row>
    <row r="18" spans="1:10">
      <c r="A18" s="67"/>
      <c r="B18" s="67"/>
      <c r="C18" s="82"/>
      <c r="D18" s="87"/>
      <c r="E18" s="68"/>
      <c r="F18" s="68"/>
      <c r="G18" s="68"/>
      <c r="H18" s="68"/>
      <c r="I18" s="73"/>
      <c r="J18" s="72"/>
    </row>
    <row r="19" spans="1:10">
      <c r="A19" s="67"/>
      <c r="B19" s="67"/>
      <c r="C19" s="82"/>
      <c r="D19" s="87"/>
      <c r="E19" s="68"/>
      <c r="F19" s="68"/>
      <c r="G19" s="68"/>
      <c r="H19" s="68"/>
      <c r="I19" s="73"/>
      <c r="J19" s="72"/>
    </row>
    <row r="20" spans="1:10">
      <c r="A20" s="67"/>
      <c r="B20" s="67"/>
      <c r="C20" s="82"/>
      <c r="D20" s="87"/>
      <c r="E20" s="68"/>
      <c r="F20" s="68"/>
      <c r="G20" s="68"/>
      <c r="H20" s="68"/>
      <c r="I20" s="73"/>
      <c r="J20" s="72"/>
    </row>
    <row r="21" spans="1:10">
      <c r="A21" s="67"/>
      <c r="B21" s="67"/>
      <c r="C21" s="82"/>
      <c r="D21" s="87"/>
      <c r="E21" s="68"/>
      <c r="F21" s="68"/>
      <c r="G21" s="68"/>
      <c r="H21" s="68"/>
      <c r="I21" s="73"/>
      <c r="J21" s="72"/>
    </row>
    <row r="22" spans="1:10">
      <c r="A22" s="67"/>
      <c r="B22" s="67"/>
      <c r="C22" s="82"/>
      <c r="D22" s="87"/>
      <c r="E22" s="68"/>
      <c r="F22" s="68"/>
      <c r="G22" s="68"/>
      <c r="H22" s="68"/>
      <c r="I22" s="73"/>
      <c r="J22" s="72"/>
    </row>
    <row r="23" spans="1:10">
      <c r="A23" s="67"/>
      <c r="B23" s="67"/>
      <c r="C23" s="82"/>
      <c r="D23" s="87"/>
      <c r="E23" s="68"/>
      <c r="F23" s="68"/>
      <c r="G23" s="68"/>
      <c r="H23" s="68"/>
      <c r="I23" s="73"/>
      <c r="J23" s="72"/>
    </row>
    <row r="24" spans="1:10">
      <c r="A24" s="67"/>
      <c r="B24" s="67"/>
      <c r="C24" s="82"/>
      <c r="D24" s="87"/>
      <c r="E24" s="68"/>
      <c r="F24" s="68"/>
      <c r="G24" s="68"/>
      <c r="H24" s="68"/>
      <c r="I24" s="73"/>
      <c r="J24" s="72"/>
    </row>
    <row r="25" spans="1:10">
      <c r="A25" s="67"/>
      <c r="B25" s="67"/>
      <c r="C25" s="82"/>
      <c r="D25" s="87"/>
      <c r="E25" s="68"/>
      <c r="F25" s="68"/>
      <c r="G25" s="68"/>
      <c r="H25" s="68"/>
      <c r="I25" s="73"/>
      <c r="J25" s="72"/>
    </row>
    <row r="26" spans="1:10">
      <c r="A26" s="67"/>
      <c r="B26" s="67"/>
      <c r="C26" s="82"/>
      <c r="D26" s="87"/>
      <c r="E26" s="68"/>
      <c r="F26" s="68"/>
      <c r="G26" s="68"/>
      <c r="H26" s="68"/>
      <c r="I26" s="73"/>
      <c r="J26" s="72"/>
    </row>
    <row r="27" spans="1:10">
      <c r="A27" s="67"/>
      <c r="B27" s="67"/>
      <c r="C27" s="82"/>
      <c r="D27" s="87"/>
      <c r="E27" s="68"/>
      <c r="F27" s="68"/>
      <c r="G27" s="68"/>
      <c r="H27" s="68"/>
      <c r="I27" s="73"/>
      <c r="J27" s="72"/>
    </row>
    <row r="28" spans="1:10">
      <c r="A28" s="67"/>
      <c r="B28" s="67"/>
      <c r="C28" s="82"/>
      <c r="D28" s="87"/>
      <c r="E28" s="68"/>
      <c r="F28" s="68"/>
      <c r="G28" s="68"/>
      <c r="H28" s="68"/>
      <c r="I28" s="73"/>
      <c r="J28" s="72"/>
    </row>
    <row r="29" spans="1:10">
      <c r="A29" s="67"/>
      <c r="B29" s="67"/>
      <c r="C29" s="82"/>
      <c r="D29" s="87"/>
      <c r="E29" s="68"/>
      <c r="F29" s="68"/>
      <c r="G29" s="68"/>
      <c r="H29" s="68"/>
      <c r="I29" s="73"/>
      <c r="J29" s="72"/>
    </row>
    <row r="30" spans="1:10">
      <c r="A30" s="67"/>
      <c r="B30" s="67"/>
      <c r="C30" s="82"/>
      <c r="D30" s="87"/>
      <c r="E30" s="68"/>
      <c r="F30" s="68"/>
      <c r="G30" s="68"/>
      <c r="H30" s="68"/>
      <c r="I30" s="73"/>
      <c r="J30" s="72"/>
    </row>
    <row r="31" spans="1:10">
      <c r="A31" s="67"/>
      <c r="B31" s="67"/>
      <c r="C31" s="82"/>
      <c r="D31" s="87"/>
      <c r="E31" s="68"/>
      <c r="F31" s="68"/>
      <c r="G31" s="68"/>
      <c r="H31" s="68"/>
      <c r="I31" s="73"/>
      <c r="J31" s="72"/>
    </row>
    <row r="32" spans="1:10">
      <c r="A32" s="67"/>
      <c r="B32" s="67"/>
      <c r="C32" s="82"/>
      <c r="D32" s="87"/>
      <c r="E32" s="68"/>
      <c r="F32" s="68"/>
      <c r="G32" s="68"/>
      <c r="H32" s="68"/>
      <c r="I32" s="73"/>
      <c r="J32" s="72"/>
    </row>
    <row r="33" spans="1:10">
      <c r="A33" s="67"/>
      <c r="B33" s="67"/>
      <c r="C33" s="82"/>
      <c r="D33" s="87"/>
      <c r="E33" s="68"/>
      <c r="F33" s="68"/>
      <c r="G33" s="68"/>
      <c r="H33" s="68"/>
      <c r="I33" s="73"/>
      <c r="J33" s="72"/>
    </row>
    <row r="34" spans="1:10">
      <c r="A34" s="67"/>
      <c r="B34" s="67"/>
      <c r="C34" s="82"/>
      <c r="D34" s="87"/>
      <c r="E34" s="68"/>
      <c r="F34" s="68"/>
      <c r="G34" s="68"/>
      <c r="H34" s="68"/>
      <c r="I34" s="73"/>
      <c r="J34" s="72"/>
    </row>
    <row r="35" spans="1:10">
      <c r="A35" s="67"/>
      <c r="B35" s="67"/>
      <c r="C35" s="82"/>
      <c r="D35" s="87"/>
      <c r="E35" s="68"/>
      <c r="F35" s="68"/>
      <c r="G35" s="68"/>
      <c r="H35" s="68"/>
      <c r="I35" s="73"/>
      <c r="J35" s="72"/>
    </row>
    <row r="36" spans="1:10" ht="13.5" thickBot="1"/>
    <row r="37" spans="1:10" ht="13.5" thickTop="1">
      <c r="A37" s="32" t="s">
        <v>13</v>
      </c>
      <c r="I37" s="88">
        <f>SUM(I4:I35)</f>
        <v>0</v>
      </c>
    </row>
  </sheetData>
  <mergeCells count="8">
    <mergeCell ref="G2:G3"/>
    <mergeCell ref="H2:H3"/>
    <mergeCell ref="I2:I3"/>
    <mergeCell ref="J2:J3"/>
    <mergeCell ref="A2:C2"/>
    <mergeCell ref="D2:D3"/>
    <mergeCell ref="E2:E3"/>
    <mergeCell ref="F2:F3"/>
  </mergeCells>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sheetPr enableFormatConditionsCalculation="0">
    <tabColor indexed="11"/>
  </sheetPr>
  <dimension ref="A2:T21"/>
  <sheetViews>
    <sheetView workbookViewId="0">
      <selection activeCell="A4" sqref="A4:T7"/>
    </sheetView>
  </sheetViews>
  <sheetFormatPr defaultRowHeight="12.75"/>
  <cols>
    <col min="1" max="1" width="20.140625" bestFit="1" customWidth="1"/>
    <col min="2" max="2" width="24.140625" bestFit="1" customWidth="1"/>
    <col min="3" max="3" width="12.42578125" bestFit="1" customWidth="1"/>
    <col min="6" max="6" width="10.140625" bestFit="1" customWidth="1"/>
    <col min="8" max="8" width="10.140625" bestFit="1" customWidth="1"/>
    <col min="9" max="9" width="14.7109375" bestFit="1" customWidth="1"/>
    <col min="11" max="11" width="15.5703125" bestFit="1" customWidth="1"/>
    <col min="12" max="12" width="11" bestFit="1" customWidth="1"/>
    <col min="13" max="13" width="10.140625" bestFit="1" customWidth="1"/>
    <col min="15" max="15" width="10.140625" bestFit="1" customWidth="1"/>
    <col min="16" max="16" width="14.7109375" bestFit="1" customWidth="1"/>
    <col min="17" max="17" width="10.140625" bestFit="1" customWidth="1"/>
    <col min="18" max="18" width="15.5703125" bestFit="1" customWidth="1"/>
    <col min="19" max="19" width="11" bestFit="1" customWidth="1"/>
    <col min="20" max="20" width="47.5703125" bestFit="1" customWidth="1"/>
  </cols>
  <sheetData>
    <row r="2" spans="1:20">
      <c r="A2" s="344" t="s">
        <v>18</v>
      </c>
      <c r="B2" s="344" t="s">
        <v>89</v>
      </c>
      <c r="C2" s="344" t="s">
        <v>90</v>
      </c>
      <c r="D2" s="344" t="s">
        <v>99</v>
      </c>
      <c r="E2" s="345"/>
      <c r="F2" s="341" t="s">
        <v>91</v>
      </c>
      <c r="G2" s="340"/>
      <c r="H2" s="340"/>
      <c r="I2" s="35" t="s">
        <v>100</v>
      </c>
      <c r="J2" s="343" t="s">
        <v>78</v>
      </c>
      <c r="K2" s="343" t="s">
        <v>103</v>
      </c>
      <c r="L2" s="342" t="s">
        <v>95</v>
      </c>
      <c r="M2" s="339" t="s">
        <v>93</v>
      </c>
      <c r="N2" s="340"/>
      <c r="O2" s="340"/>
      <c r="P2" s="35" t="s">
        <v>101</v>
      </c>
      <c r="Q2" s="343" t="s">
        <v>78</v>
      </c>
      <c r="R2" s="343" t="s">
        <v>103</v>
      </c>
      <c r="S2" s="342" t="s">
        <v>95</v>
      </c>
      <c r="T2" s="338" t="s">
        <v>96</v>
      </c>
    </row>
    <row r="3" spans="1:20">
      <c r="A3" s="344"/>
      <c r="B3" s="344"/>
      <c r="C3" s="344"/>
      <c r="D3" s="26" t="s">
        <v>98</v>
      </c>
      <c r="E3" s="44" t="s">
        <v>1</v>
      </c>
      <c r="F3" s="45" t="s">
        <v>92</v>
      </c>
      <c r="G3" s="26" t="s">
        <v>19</v>
      </c>
      <c r="H3" s="26" t="s">
        <v>16</v>
      </c>
      <c r="I3" s="26" t="s">
        <v>102</v>
      </c>
      <c r="J3" s="333"/>
      <c r="K3" s="333"/>
      <c r="L3" s="342"/>
      <c r="M3" s="42" t="s">
        <v>94</v>
      </c>
      <c r="N3" s="26" t="s">
        <v>19</v>
      </c>
      <c r="O3" s="26" t="s">
        <v>16</v>
      </c>
      <c r="P3" s="26" t="s">
        <v>102</v>
      </c>
      <c r="Q3" s="333"/>
      <c r="R3" s="333"/>
      <c r="S3" s="342"/>
      <c r="T3" s="338"/>
    </row>
    <row r="4" spans="1:20">
      <c r="A4" s="36"/>
      <c r="B4" s="143"/>
      <c r="C4" s="36"/>
      <c r="F4" s="46"/>
      <c r="G4" s="39"/>
      <c r="H4" s="40"/>
      <c r="I4" s="28"/>
      <c r="J4" s="28"/>
      <c r="K4" s="28"/>
      <c r="L4" s="41"/>
      <c r="M4" s="43"/>
      <c r="N4" s="39"/>
      <c r="O4" s="40"/>
      <c r="P4" s="39"/>
      <c r="Q4" s="40"/>
      <c r="R4" s="39"/>
      <c r="S4" s="41"/>
      <c r="T4" s="37"/>
    </row>
    <row r="5" spans="1:20">
      <c r="A5" s="28"/>
      <c r="B5" s="141"/>
      <c r="C5" s="28"/>
      <c r="F5" s="47"/>
      <c r="G5" s="39"/>
      <c r="H5" s="40"/>
      <c r="I5" s="28"/>
      <c r="J5" s="28"/>
      <c r="K5" s="28"/>
      <c r="L5" s="41"/>
      <c r="M5" s="10"/>
      <c r="N5" s="39"/>
      <c r="O5" s="40"/>
      <c r="P5" s="39"/>
      <c r="Q5" s="40"/>
      <c r="R5" s="39"/>
      <c r="S5" s="41"/>
      <c r="T5" s="38"/>
    </row>
    <row r="6" spans="1:20">
      <c r="A6" s="28"/>
      <c r="B6" s="142"/>
      <c r="C6" s="28"/>
      <c r="F6" s="47"/>
      <c r="G6" s="39"/>
      <c r="H6" s="40"/>
      <c r="I6" s="28"/>
      <c r="J6" s="28"/>
      <c r="K6" s="28"/>
      <c r="L6" s="41"/>
      <c r="M6" s="10"/>
      <c r="N6" s="39"/>
      <c r="O6" s="40"/>
      <c r="P6" s="39"/>
      <c r="Q6" s="28"/>
      <c r="R6" s="39"/>
      <c r="S6" s="41"/>
      <c r="T6" s="38"/>
    </row>
    <row r="7" spans="1:20">
      <c r="B7" s="56"/>
      <c r="C7" s="139"/>
      <c r="F7" s="1"/>
      <c r="G7" s="140"/>
      <c r="H7" s="40"/>
      <c r="I7" s="139"/>
      <c r="J7" s="55"/>
      <c r="K7" s="55"/>
      <c r="L7" s="41"/>
    </row>
    <row r="21" spans="2:2">
      <c r="B21" s="138"/>
    </row>
  </sheetData>
  <mergeCells count="13">
    <mergeCell ref="A2:A3"/>
    <mergeCell ref="B2:B3"/>
    <mergeCell ref="C2:C3"/>
    <mergeCell ref="D2:E2"/>
    <mergeCell ref="S2:S3"/>
    <mergeCell ref="T2:T3"/>
    <mergeCell ref="M2:O2"/>
    <mergeCell ref="F2:H2"/>
    <mergeCell ref="L2:L3"/>
    <mergeCell ref="K2:K3"/>
    <mergeCell ref="R2:R3"/>
    <mergeCell ref="Q2:Q3"/>
    <mergeCell ref="J2:J3"/>
  </mergeCells>
  <phoneticPr fontId="2" type="noConversion"/>
  <pageMargins left="0.75" right="0.75" top="1" bottom="1" header="0.5" footer="0.5"/>
  <pageSetup paperSize="9" orientation="portrait" horizontalDpi="4294967293" verticalDpi="0" r:id="rId1"/>
  <headerFooter alignWithMargins="0"/>
</worksheet>
</file>

<file path=xl/worksheets/sheet8.xml><?xml version="1.0" encoding="utf-8"?>
<worksheet xmlns="http://schemas.openxmlformats.org/spreadsheetml/2006/main" xmlns:r="http://schemas.openxmlformats.org/officeDocument/2006/relationships">
  <sheetPr enableFormatConditionsCalculation="0">
    <tabColor indexed="10"/>
  </sheetPr>
  <dimension ref="A1:AC141"/>
  <sheetViews>
    <sheetView topLeftCell="A94" zoomScale="70" workbookViewId="0">
      <selection activeCell="I87" sqref="I87"/>
    </sheetView>
  </sheetViews>
  <sheetFormatPr defaultRowHeight="12.75"/>
  <cols>
    <col min="1" max="1" width="5" customWidth="1"/>
    <col min="2" max="2" width="51.140625" bestFit="1" customWidth="1"/>
    <col min="3" max="3" width="16.140625" customWidth="1"/>
    <col min="5" max="5" width="12.5703125" bestFit="1" customWidth="1"/>
    <col min="7" max="7" width="12.42578125" bestFit="1" customWidth="1"/>
    <col min="9" max="9" width="10.7109375" bestFit="1" customWidth="1"/>
    <col min="11" max="11" width="64.5703125" bestFit="1" customWidth="1"/>
  </cols>
  <sheetData>
    <row r="1" spans="1:13">
      <c r="A1" s="172"/>
      <c r="B1" s="172"/>
      <c r="C1" s="172"/>
      <c r="D1" s="172"/>
      <c r="E1" s="172"/>
      <c r="F1" s="172"/>
      <c r="G1" s="172"/>
      <c r="H1" s="172"/>
      <c r="I1" s="172"/>
      <c r="J1" s="172"/>
      <c r="K1" s="172"/>
      <c r="L1" s="172"/>
      <c r="M1" s="172"/>
    </row>
    <row r="2" spans="1:13" ht="18">
      <c r="A2" s="172"/>
      <c r="B2" s="173" t="s">
        <v>473</v>
      </c>
      <c r="C2" s="173"/>
      <c r="D2" s="173"/>
      <c r="E2" s="174" t="s">
        <v>511</v>
      </c>
      <c r="F2" s="346" t="s">
        <v>499</v>
      </c>
      <c r="G2" s="347"/>
      <c r="H2" s="347"/>
      <c r="I2" s="347"/>
      <c r="J2" s="348"/>
      <c r="K2" s="348"/>
      <c r="L2" s="172"/>
      <c r="M2" s="172"/>
    </row>
    <row r="3" spans="1:13" ht="15.75" thickBot="1">
      <c r="A3" s="172"/>
      <c r="B3" s="175"/>
      <c r="C3" s="175"/>
      <c r="D3" s="175"/>
      <c r="E3" s="176"/>
      <c r="F3" s="177"/>
      <c r="G3" s="178"/>
      <c r="H3" s="178"/>
      <c r="I3" s="178"/>
      <c r="J3" s="179"/>
      <c r="K3" s="180"/>
      <c r="L3" s="172"/>
      <c r="M3" s="172"/>
    </row>
    <row r="4" spans="1:13" ht="13.5" thickBot="1">
      <c r="A4" s="172"/>
      <c r="B4" s="181" t="s">
        <v>474</v>
      </c>
      <c r="C4" s="182"/>
      <c r="D4" s="182"/>
      <c r="E4" s="183"/>
      <c r="F4" s="183"/>
      <c r="G4" s="184">
        <v>412.72</v>
      </c>
      <c r="H4" s="185"/>
      <c r="I4" s="186"/>
      <c r="J4" s="185"/>
      <c r="K4" s="187"/>
      <c r="L4" s="172"/>
      <c r="M4" s="172"/>
    </row>
    <row r="5" spans="1:13">
      <c r="A5" s="172"/>
      <c r="B5" s="188"/>
      <c r="C5" s="189" t="s">
        <v>496</v>
      </c>
      <c r="D5" s="189"/>
      <c r="E5" s="190" t="s">
        <v>497</v>
      </c>
      <c r="F5" s="190"/>
      <c r="G5" s="190" t="s">
        <v>498</v>
      </c>
      <c r="H5" s="191"/>
      <c r="I5" s="190" t="s">
        <v>475</v>
      </c>
      <c r="J5" s="191"/>
      <c r="K5" s="192" t="s">
        <v>476</v>
      </c>
      <c r="L5" s="172"/>
      <c r="M5" s="172"/>
    </row>
    <row r="6" spans="1:13">
      <c r="A6" s="172"/>
      <c r="B6" s="193" t="s">
        <v>477</v>
      </c>
      <c r="C6" s="194"/>
      <c r="D6" s="194"/>
      <c r="E6" s="195"/>
      <c r="F6" s="195"/>
      <c r="G6" s="195"/>
      <c r="H6" s="195"/>
      <c r="I6" s="195"/>
      <c r="J6" s="195"/>
      <c r="K6" s="196"/>
      <c r="L6" s="172"/>
      <c r="M6" s="172"/>
    </row>
    <row r="7" spans="1:13" ht="38.25">
      <c r="A7" s="172"/>
      <c r="B7" s="197" t="s">
        <v>478</v>
      </c>
      <c r="C7" s="198">
        <v>3100</v>
      </c>
      <c r="D7" s="198"/>
      <c r="E7" s="198">
        <v>900</v>
      </c>
      <c r="F7" s="198"/>
      <c r="G7" s="198">
        <v>801</v>
      </c>
      <c r="H7" s="199"/>
      <c r="I7" s="198">
        <f>G7-E7</f>
        <v>-99</v>
      </c>
      <c r="J7" s="199"/>
      <c r="K7" s="200" t="s">
        <v>500</v>
      </c>
      <c r="L7" s="172"/>
      <c r="M7" s="172"/>
    </row>
    <row r="8" spans="1:13" ht="25.5">
      <c r="A8" s="172"/>
      <c r="B8" s="197" t="s">
        <v>479</v>
      </c>
      <c r="C8" s="198">
        <v>1400</v>
      </c>
      <c r="D8" s="198"/>
      <c r="E8" s="201">
        <v>400</v>
      </c>
      <c r="F8" s="201"/>
      <c r="G8" s="201">
        <v>956</v>
      </c>
      <c r="H8" s="202"/>
      <c r="I8" s="201">
        <f>G8-E8</f>
        <v>556</v>
      </c>
      <c r="J8" s="202"/>
      <c r="K8" s="203" t="s">
        <v>512</v>
      </c>
      <c r="L8" s="172"/>
      <c r="M8" s="172"/>
    </row>
    <row r="9" spans="1:13">
      <c r="A9" s="172"/>
      <c r="B9" s="197" t="s">
        <v>480</v>
      </c>
      <c r="C9" s="198">
        <v>6650</v>
      </c>
      <c r="D9" s="198"/>
      <c r="E9" s="201">
        <v>6650</v>
      </c>
      <c r="F9" s="201"/>
      <c r="G9" s="201">
        <v>6650</v>
      </c>
      <c r="H9" s="202"/>
      <c r="I9" s="201">
        <f>G9-E9</f>
        <v>0</v>
      </c>
      <c r="J9" s="202"/>
      <c r="K9" s="203"/>
      <c r="L9" s="172"/>
      <c r="M9" s="172"/>
    </row>
    <row r="10" spans="1:13" ht="25.5">
      <c r="A10" s="172"/>
      <c r="B10" s="197" t="s">
        <v>501</v>
      </c>
      <c r="C10" s="198">
        <v>0</v>
      </c>
      <c r="D10" s="198"/>
      <c r="E10" s="201">
        <v>0</v>
      </c>
      <c r="F10" s="201"/>
      <c r="G10" s="201">
        <v>427.2</v>
      </c>
      <c r="H10" s="202"/>
      <c r="I10" s="201">
        <f>G10-E10</f>
        <v>427.2</v>
      </c>
      <c r="J10" s="202"/>
      <c r="K10" s="204" t="s">
        <v>502</v>
      </c>
      <c r="L10" s="205"/>
      <c r="M10" s="206"/>
    </row>
    <row r="11" spans="1:13">
      <c r="A11" s="172"/>
      <c r="B11" s="197" t="s">
        <v>556</v>
      </c>
      <c r="C11" s="198"/>
      <c r="D11" s="198"/>
      <c r="E11" s="201"/>
      <c r="F11" s="201"/>
      <c r="G11" s="201">
        <v>1469.95</v>
      </c>
      <c r="H11" s="202"/>
      <c r="I11" s="201"/>
      <c r="J11" s="202"/>
      <c r="K11" s="203"/>
      <c r="L11" s="206"/>
      <c r="M11" s="206"/>
    </row>
    <row r="12" spans="1:13">
      <c r="A12" s="172"/>
      <c r="B12" s="197" t="s">
        <v>557</v>
      </c>
      <c r="C12" s="198"/>
      <c r="D12" s="198"/>
      <c r="E12" s="201"/>
      <c r="F12" s="201"/>
      <c r="G12" s="201"/>
      <c r="H12" s="202"/>
      <c r="I12" s="201"/>
      <c r="J12" s="202"/>
      <c r="K12" s="203"/>
      <c r="L12" s="206"/>
      <c r="M12" s="206"/>
    </row>
    <row r="13" spans="1:13">
      <c r="A13" s="172"/>
      <c r="B13" s="193" t="s">
        <v>13</v>
      </c>
      <c r="C13" s="207">
        <f>SUM(C7:C10)</f>
        <v>11150</v>
      </c>
      <c r="D13" s="194"/>
      <c r="E13" s="207">
        <f>SUM(E7:E10)</f>
        <v>7950</v>
      </c>
      <c r="F13" s="207"/>
      <c r="G13" s="207">
        <f>SUM(G7:G11)</f>
        <v>10304.150000000001</v>
      </c>
      <c r="H13" s="202"/>
      <c r="I13" s="207">
        <f>SUM(I7:I10)</f>
        <v>884.2</v>
      </c>
      <c r="J13" s="202"/>
      <c r="K13" s="208"/>
      <c r="L13" s="172"/>
      <c r="M13" s="172"/>
    </row>
    <row r="14" spans="1:13">
      <c r="A14" s="172"/>
      <c r="B14" s="197"/>
      <c r="C14" s="198"/>
      <c r="D14" s="198"/>
      <c r="E14" s="207"/>
      <c r="F14" s="207"/>
      <c r="G14" s="207"/>
      <c r="H14" s="202"/>
      <c r="I14" s="207"/>
      <c r="J14" s="202"/>
      <c r="K14" s="208"/>
      <c r="L14" s="172"/>
      <c r="M14" s="172"/>
    </row>
    <row r="15" spans="1:13">
      <c r="A15" s="172"/>
      <c r="B15" s="197"/>
      <c r="C15" s="198"/>
      <c r="D15" s="198"/>
      <c r="E15" s="201"/>
      <c r="F15" s="201"/>
      <c r="G15" s="201"/>
      <c r="H15" s="202"/>
      <c r="I15" s="201"/>
      <c r="J15" s="202"/>
      <c r="K15" s="203"/>
      <c r="L15" s="172"/>
      <c r="M15" s="172"/>
    </row>
    <row r="16" spans="1:13">
      <c r="A16" s="172"/>
      <c r="B16" s="193" t="s">
        <v>481</v>
      </c>
      <c r="C16" s="194"/>
      <c r="D16" s="194"/>
      <c r="E16" s="201"/>
      <c r="F16" s="201"/>
      <c r="G16" s="201"/>
      <c r="H16" s="202"/>
      <c r="I16" s="207"/>
      <c r="J16" s="202"/>
      <c r="K16" s="208"/>
      <c r="L16" s="172"/>
      <c r="M16" s="172"/>
    </row>
    <row r="17" spans="1:13">
      <c r="A17" s="172"/>
      <c r="B17" s="197" t="s">
        <v>140</v>
      </c>
      <c r="C17" s="198">
        <v>3000</v>
      </c>
      <c r="D17" s="198"/>
      <c r="E17" s="201">
        <v>0</v>
      </c>
      <c r="F17" s="201"/>
      <c r="G17" s="201">
        <v>3064.16</v>
      </c>
      <c r="H17" s="202"/>
      <c r="I17" s="201">
        <f t="shared" ref="I17:I28" si="0">E17-G17</f>
        <v>-3064.16</v>
      </c>
      <c r="J17" s="202"/>
      <c r="K17" s="203" t="s">
        <v>503</v>
      </c>
      <c r="L17" s="172"/>
      <c r="M17" s="172"/>
    </row>
    <row r="18" spans="1:13">
      <c r="A18" s="172"/>
      <c r="B18" s="197" t="s">
        <v>137</v>
      </c>
      <c r="C18" s="198">
        <v>937.19</v>
      </c>
      <c r="D18" s="198"/>
      <c r="E18" s="201">
        <v>0</v>
      </c>
      <c r="F18" s="201"/>
      <c r="G18" s="201">
        <v>160.4</v>
      </c>
      <c r="H18" s="202"/>
      <c r="I18" s="201">
        <f t="shared" si="0"/>
        <v>-160.4</v>
      </c>
      <c r="J18" s="202"/>
      <c r="K18" s="203" t="s">
        <v>504</v>
      </c>
      <c r="L18" s="172"/>
      <c r="M18" s="172"/>
    </row>
    <row r="19" spans="1:13">
      <c r="A19" s="172"/>
      <c r="B19" s="197" t="s">
        <v>142</v>
      </c>
      <c r="C19" s="198">
        <v>3762.6</v>
      </c>
      <c r="D19" s="198"/>
      <c r="E19" s="201">
        <v>1332.6</v>
      </c>
      <c r="F19" s="201"/>
      <c r="G19" s="201">
        <v>1236</v>
      </c>
      <c r="H19" s="202"/>
      <c r="I19" s="201">
        <f t="shared" si="0"/>
        <v>96.599999999999909</v>
      </c>
      <c r="J19" s="202"/>
      <c r="K19" s="203"/>
      <c r="L19" s="172"/>
      <c r="M19" s="172"/>
    </row>
    <row r="20" spans="1:13">
      <c r="A20" s="172"/>
      <c r="B20" s="197" t="s">
        <v>144</v>
      </c>
      <c r="C20" s="198">
        <v>750</v>
      </c>
      <c r="D20" s="198"/>
      <c r="E20" s="201">
        <v>350</v>
      </c>
      <c r="F20" s="201"/>
      <c r="G20" s="201">
        <v>596</v>
      </c>
      <c r="H20" s="202"/>
      <c r="I20" s="201">
        <f t="shared" si="0"/>
        <v>-246</v>
      </c>
      <c r="J20" s="202"/>
      <c r="K20" s="203" t="s">
        <v>505</v>
      </c>
      <c r="L20" s="172"/>
      <c r="M20" s="172"/>
    </row>
    <row r="21" spans="1:13" ht="25.5">
      <c r="A21" s="172"/>
      <c r="B21" s="197" t="s">
        <v>482</v>
      </c>
      <c r="C21" s="198">
        <v>350</v>
      </c>
      <c r="D21" s="198"/>
      <c r="E21" s="201">
        <v>250</v>
      </c>
      <c r="F21" s="201"/>
      <c r="G21" s="201">
        <v>415</v>
      </c>
      <c r="H21" s="202"/>
      <c r="I21" s="201">
        <f t="shared" si="0"/>
        <v>-165</v>
      </c>
      <c r="J21" s="202"/>
      <c r="K21" s="203" t="s">
        <v>506</v>
      </c>
      <c r="L21" s="172"/>
      <c r="M21" s="172"/>
    </row>
    <row r="22" spans="1:13">
      <c r="A22" s="172"/>
      <c r="B22" s="197" t="s">
        <v>483</v>
      </c>
      <c r="C22" s="198">
        <v>6410</v>
      </c>
      <c r="D22" s="198"/>
      <c r="E22" s="201">
        <v>1710</v>
      </c>
      <c r="F22" s="201"/>
      <c r="G22" s="201">
        <v>1575</v>
      </c>
      <c r="H22" s="202"/>
      <c r="I22" s="201">
        <f t="shared" si="0"/>
        <v>135</v>
      </c>
      <c r="J22" s="202"/>
      <c r="K22" s="203"/>
      <c r="L22" s="172"/>
      <c r="M22" s="172"/>
    </row>
    <row r="23" spans="1:13">
      <c r="A23" s="172"/>
      <c r="B23" s="197" t="s">
        <v>141</v>
      </c>
      <c r="C23" s="198">
        <v>300</v>
      </c>
      <c r="D23" s="198"/>
      <c r="E23" s="201">
        <v>150</v>
      </c>
      <c r="F23" s="201"/>
      <c r="G23" s="201">
        <v>60</v>
      </c>
      <c r="H23" s="202"/>
      <c r="I23" s="201">
        <f t="shared" si="0"/>
        <v>90</v>
      </c>
      <c r="J23" s="202"/>
      <c r="K23" s="203" t="s">
        <v>507</v>
      </c>
      <c r="L23" s="172"/>
      <c r="M23" s="172"/>
    </row>
    <row r="24" spans="1:13">
      <c r="A24" s="172"/>
      <c r="B24" s="197" t="s">
        <v>148</v>
      </c>
      <c r="C24" s="198">
        <v>100</v>
      </c>
      <c r="D24" s="198"/>
      <c r="E24" s="201">
        <v>50</v>
      </c>
      <c r="F24" s="201"/>
      <c r="G24" s="201">
        <v>83.09</v>
      </c>
      <c r="H24" s="202"/>
      <c r="I24" s="201">
        <f t="shared" si="0"/>
        <v>-33.090000000000003</v>
      </c>
      <c r="J24" s="202"/>
      <c r="K24" s="203" t="s">
        <v>558</v>
      </c>
      <c r="L24" s="172"/>
      <c r="M24" s="172"/>
    </row>
    <row r="25" spans="1:13">
      <c r="A25" s="172"/>
      <c r="B25" s="197" t="s">
        <v>149</v>
      </c>
      <c r="C25" s="198">
        <v>0</v>
      </c>
      <c r="D25" s="198"/>
      <c r="E25" s="201">
        <v>0</v>
      </c>
      <c r="F25" s="201"/>
      <c r="G25" s="201">
        <v>176.83</v>
      </c>
      <c r="H25" s="202"/>
      <c r="I25" s="201">
        <f t="shared" si="0"/>
        <v>-176.83</v>
      </c>
      <c r="J25" s="202"/>
      <c r="K25" s="203" t="s">
        <v>559</v>
      </c>
      <c r="L25" s="172"/>
      <c r="M25" s="172"/>
    </row>
    <row r="26" spans="1:13">
      <c r="A26" s="172"/>
      <c r="B26" s="197" t="s">
        <v>145</v>
      </c>
      <c r="C26" s="198">
        <v>0</v>
      </c>
      <c r="D26" s="198"/>
      <c r="E26" s="201">
        <v>0</v>
      </c>
      <c r="F26" s="201"/>
      <c r="G26" s="201">
        <v>306.27999999999997</v>
      </c>
      <c r="H26" s="202"/>
      <c r="I26" s="201">
        <f t="shared" si="0"/>
        <v>-306.27999999999997</v>
      </c>
      <c r="J26" s="202"/>
      <c r="K26" s="203" t="s">
        <v>508</v>
      </c>
      <c r="L26" s="172"/>
      <c r="M26" s="172"/>
    </row>
    <row r="27" spans="1:13">
      <c r="A27" s="172"/>
      <c r="B27" s="197" t="s">
        <v>143</v>
      </c>
      <c r="C27" s="198">
        <v>3100</v>
      </c>
      <c r="D27" s="198"/>
      <c r="E27" s="201">
        <v>1700</v>
      </c>
      <c r="F27" s="201"/>
      <c r="G27" s="201">
        <v>1489.26</v>
      </c>
      <c r="H27" s="202"/>
      <c r="I27" s="201">
        <f t="shared" si="0"/>
        <v>210.74</v>
      </c>
      <c r="J27" s="202"/>
      <c r="K27" s="203" t="s">
        <v>560</v>
      </c>
      <c r="L27" s="172"/>
      <c r="M27" s="172"/>
    </row>
    <row r="28" spans="1:13">
      <c r="A28" s="172"/>
      <c r="B28" s="197" t="s">
        <v>555</v>
      </c>
      <c r="C28" s="198">
        <v>570</v>
      </c>
      <c r="D28" s="198"/>
      <c r="E28" s="201">
        <v>570</v>
      </c>
      <c r="F28" s="201"/>
      <c r="G28" s="201">
        <v>724.48</v>
      </c>
      <c r="H28" s="202"/>
      <c r="I28" s="201">
        <f t="shared" si="0"/>
        <v>-154.48000000000002</v>
      </c>
      <c r="J28" s="202"/>
      <c r="K28" s="203" t="s">
        <v>561</v>
      </c>
      <c r="L28" s="172"/>
      <c r="M28" s="172"/>
    </row>
    <row r="29" spans="1:13">
      <c r="A29" s="172"/>
      <c r="B29" s="193" t="s">
        <v>13</v>
      </c>
      <c r="C29" s="207">
        <f>SUM(C17:C28)</f>
        <v>19279.79</v>
      </c>
      <c r="D29" s="194"/>
      <c r="E29" s="207">
        <f>SUM(E17:E28)</f>
        <v>6112.6</v>
      </c>
      <c r="F29" s="207"/>
      <c r="G29" s="207">
        <f>SUM(G17:G28)</f>
        <v>9886.4999999999982</v>
      </c>
      <c r="H29" s="202"/>
      <c r="I29" s="207">
        <f>SUM(I17:I28)</f>
        <v>-3773.9</v>
      </c>
      <c r="J29" s="202"/>
      <c r="K29" s="208"/>
      <c r="L29" s="172"/>
      <c r="M29" s="172"/>
    </row>
    <row r="30" spans="1:13">
      <c r="A30" s="172"/>
      <c r="B30" s="197"/>
      <c r="C30" s="198"/>
      <c r="D30" s="198"/>
      <c r="E30" s="201"/>
      <c r="F30" s="201"/>
      <c r="G30" s="201"/>
      <c r="H30" s="202"/>
      <c r="I30" s="201"/>
      <c r="J30" s="202"/>
      <c r="K30" s="203"/>
      <c r="L30" s="172"/>
      <c r="M30" s="172"/>
    </row>
    <row r="31" spans="1:13" ht="13.5" thickBot="1">
      <c r="A31" s="172"/>
      <c r="B31" s="209" t="s">
        <v>484</v>
      </c>
      <c r="C31" s="210"/>
      <c r="D31" s="210"/>
      <c r="E31" s="211">
        <f>E13-E29</f>
        <v>1837.3999999999996</v>
      </c>
      <c r="F31" s="211"/>
      <c r="G31" s="211">
        <f>G13-G29</f>
        <v>417.65000000000327</v>
      </c>
      <c r="H31" s="212"/>
      <c r="I31" s="213">
        <f>I29+I13</f>
        <v>-2889.7</v>
      </c>
      <c r="J31" s="212"/>
      <c r="K31" s="214"/>
      <c r="L31" s="172"/>
      <c r="M31" s="172"/>
    </row>
    <row r="32" spans="1:13" ht="13.5" thickBot="1">
      <c r="A32" s="172"/>
      <c r="B32" s="181" t="s">
        <v>485</v>
      </c>
      <c r="C32" s="182"/>
      <c r="D32" s="182"/>
      <c r="E32" s="183"/>
      <c r="F32" s="183"/>
      <c r="G32" s="184">
        <f>G4+G31</f>
        <v>830.3700000000033</v>
      </c>
      <c r="H32" s="185"/>
      <c r="I32" s="215"/>
      <c r="J32" s="185"/>
      <c r="K32" s="216"/>
      <c r="L32" s="172"/>
      <c r="M32" s="172"/>
    </row>
    <row r="33" spans="1:13" ht="13.5" thickBot="1">
      <c r="A33" s="172"/>
      <c r="B33" s="202"/>
      <c r="C33" s="202"/>
      <c r="D33" s="202"/>
      <c r="E33" s="201"/>
      <c r="F33" s="201"/>
      <c r="G33" s="207"/>
      <c r="H33" s="217"/>
      <c r="I33" s="218"/>
      <c r="J33" s="217"/>
      <c r="K33" s="219"/>
      <c r="L33" s="172"/>
      <c r="M33" s="172"/>
    </row>
    <row r="34" spans="1:13">
      <c r="A34" s="172"/>
      <c r="B34" s="220" t="s">
        <v>486</v>
      </c>
      <c r="C34" s="191"/>
      <c r="D34" s="191"/>
      <c r="E34" s="221"/>
      <c r="F34" s="221"/>
      <c r="G34" s="190"/>
      <c r="H34" s="222"/>
      <c r="I34" s="190"/>
      <c r="J34" s="222"/>
      <c r="K34" s="192"/>
      <c r="L34" s="172"/>
      <c r="M34" s="172"/>
    </row>
    <row r="35" spans="1:13">
      <c r="A35" s="172"/>
      <c r="B35" s="223"/>
      <c r="C35" s="202"/>
      <c r="D35" s="202"/>
      <c r="E35" s="201"/>
      <c r="F35" s="201"/>
      <c r="G35" s="207" t="s">
        <v>487</v>
      </c>
      <c r="H35" s="202"/>
      <c r="I35" s="224" t="s">
        <v>488</v>
      </c>
      <c r="J35" s="202"/>
      <c r="K35" s="203"/>
      <c r="L35" s="172"/>
      <c r="M35" s="172"/>
    </row>
    <row r="36" spans="1:13">
      <c r="A36" s="172"/>
      <c r="B36" s="225" t="s">
        <v>489</v>
      </c>
      <c r="C36" s="226"/>
      <c r="D36" s="226"/>
      <c r="E36" s="201"/>
      <c r="F36" s="201"/>
      <c r="G36" s="207">
        <f>SUM(G37:G40)</f>
        <v>3317.56</v>
      </c>
      <c r="H36" s="202"/>
      <c r="I36" s="202"/>
      <c r="J36" s="202"/>
      <c r="K36" s="203"/>
      <c r="L36" s="172"/>
      <c r="M36" s="172"/>
    </row>
    <row r="37" spans="1:13">
      <c r="A37" s="172"/>
      <c r="B37" s="227" t="s">
        <v>509</v>
      </c>
      <c r="C37" s="228"/>
      <c r="D37" s="228"/>
      <c r="E37" s="201"/>
      <c r="F37" s="201"/>
      <c r="G37" s="201">
        <v>307.56</v>
      </c>
      <c r="H37" s="202"/>
      <c r="I37" s="229"/>
      <c r="J37" s="202"/>
      <c r="K37" s="203"/>
      <c r="L37" s="172"/>
      <c r="M37" s="172"/>
    </row>
    <row r="38" spans="1:13">
      <c r="A38" s="172"/>
      <c r="B38" s="227" t="s">
        <v>510</v>
      </c>
      <c r="C38" s="228"/>
      <c r="D38" s="228"/>
      <c r="E38" s="201"/>
      <c r="F38" s="201"/>
      <c r="G38" s="201">
        <v>380</v>
      </c>
      <c r="H38" s="202"/>
      <c r="I38" s="229"/>
      <c r="J38" s="202"/>
      <c r="K38" s="203"/>
      <c r="L38" s="172"/>
      <c r="M38" s="172"/>
    </row>
    <row r="39" spans="1:13">
      <c r="A39" s="172"/>
      <c r="B39" s="227" t="s">
        <v>138</v>
      </c>
      <c r="C39" s="228"/>
      <c r="D39" s="228"/>
      <c r="E39" s="201"/>
      <c r="F39" s="201"/>
      <c r="G39" s="201">
        <v>2040</v>
      </c>
      <c r="H39" s="202"/>
      <c r="I39" s="229" t="s">
        <v>562</v>
      </c>
      <c r="J39" s="202"/>
      <c r="K39" s="203"/>
      <c r="L39" s="172"/>
      <c r="M39" s="172"/>
    </row>
    <row r="40" spans="1:13">
      <c r="A40" s="172"/>
      <c r="B40" s="227" t="s">
        <v>207</v>
      </c>
      <c r="C40" s="228"/>
      <c r="D40" s="228"/>
      <c r="E40" s="201"/>
      <c r="F40" s="201"/>
      <c r="G40" s="201">
        <f>(130*3)+200</f>
        <v>590</v>
      </c>
      <c r="H40" s="202"/>
      <c r="I40" s="229" t="s">
        <v>563</v>
      </c>
      <c r="J40" s="202"/>
      <c r="K40" s="203"/>
      <c r="L40" s="172"/>
      <c r="M40" s="172"/>
    </row>
    <row r="41" spans="1:13">
      <c r="A41" s="172"/>
      <c r="B41" s="227"/>
      <c r="C41" s="228"/>
      <c r="D41" s="228"/>
      <c r="E41" s="201"/>
      <c r="F41" s="201"/>
      <c r="G41" s="201"/>
      <c r="H41" s="202"/>
      <c r="I41" s="229"/>
      <c r="J41" s="202"/>
      <c r="K41" s="203"/>
      <c r="L41" s="172"/>
      <c r="M41" s="172"/>
    </row>
    <row r="42" spans="1:13">
      <c r="A42" s="172"/>
      <c r="B42" s="225" t="s">
        <v>490</v>
      </c>
      <c r="C42" s="226"/>
      <c r="D42" s="226"/>
      <c r="E42" s="201"/>
      <c r="F42" s="201"/>
      <c r="G42" s="207">
        <f>SUM(G43:G45)</f>
        <v>0</v>
      </c>
      <c r="H42" s="202"/>
      <c r="I42" s="201"/>
      <c r="J42" s="202"/>
      <c r="K42" s="203"/>
      <c r="L42" s="172"/>
      <c r="M42" s="172"/>
    </row>
    <row r="43" spans="1:13">
      <c r="A43" s="172"/>
      <c r="B43" s="227" t="s">
        <v>491</v>
      </c>
      <c r="C43" s="228"/>
      <c r="D43" s="228"/>
      <c r="E43" s="201"/>
      <c r="F43" s="201"/>
      <c r="G43" s="201">
        <v>0</v>
      </c>
      <c r="H43" s="202"/>
      <c r="I43" s="201"/>
      <c r="J43" s="202"/>
      <c r="K43" s="203"/>
      <c r="L43" s="172"/>
      <c r="M43" s="172"/>
    </row>
    <row r="44" spans="1:13">
      <c r="A44" s="172"/>
      <c r="B44" s="227" t="s">
        <v>492</v>
      </c>
      <c r="C44" s="228"/>
      <c r="D44" s="228"/>
      <c r="E44" s="201"/>
      <c r="F44" s="201"/>
      <c r="G44" s="201">
        <v>0</v>
      </c>
      <c r="H44" s="202"/>
      <c r="I44" s="201"/>
      <c r="J44" s="202"/>
      <c r="K44" s="203"/>
      <c r="L44" s="172"/>
      <c r="M44" s="172"/>
    </row>
    <row r="45" spans="1:13">
      <c r="A45" s="172"/>
      <c r="B45" s="227" t="s">
        <v>493</v>
      </c>
      <c r="C45" s="228"/>
      <c r="D45" s="228"/>
      <c r="E45" s="201"/>
      <c r="F45" s="201"/>
      <c r="G45" s="201">
        <v>0</v>
      </c>
      <c r="H45" s="202"/>
      <c r="I45" s="201"/>
      <c r="J45" s="202"/>
      <c r="K45" s="203"/>
      <c r="L45" s="172"/>
      <c r="M45" s="172"/>
    </row>
    <row r="46" spans="1:13">
      <c r="A46" s="172"/>
      <c r="B46" s="223"/>
      <c r="C46" s="202"/>
      <c r="D46" s="202"/>
      <c r="E46" s="201"/>
      <c r="F46" s="201"/>
      <c r="G46" s="201"/>
      <c r="H46" s="202"/>
      <c r="I46" s="201"/>
      <c r="J46" s="202"/>
      <c r="K46" s="203"/>
      <c r="L46" s="172"/>
      <c r="M46" s="172"/>
    </row>
    <row r="47" spans="1:13" ht="13.5" thickBot="1">
      <c r="A47" s="172"/>
      <c r="B47" s="230" t="s">
        <v>494</v>
      </c>
      <c r="C47" s="231"/>
      <c r="D47" s="231"/>
      <c r="E47" s="213"/>
      <c r="F47" s="213"/>
      <c r="G47" s="213">
        <f>G31+G36-G42</f>
        <v>3735.2100000000032</v>
      </c>
      <c r="H47" s="212"/>
      <c r="I47" s="211"/>
      <c r="J47" s="212"/>
      <c r="K47" s="214"/>
      <c r="L47" s="172"/>
      <c r="M47" s="172"/>
    </row>
    <row r="48" spans="1:13">
      <c r="A48" s="172"/>
      <c r="B48" s="195"/>
      <c r="C48" s="195"/>
      <c r="D48" s="195"/>
      <c r="E48" s="207"/>
      <c r="F48" s="207"/>
      <c r="G48" s="207"/>
      <c r="H48" s="202"/>
      <c r="I48" s="201"/>
      <c r="J48" s="202"/>
      <c r="K48" s="204"/>
      <c r="L48" s="172"/>
      <c r="M48" s="172"/>
    </row>
    <row r="49" spans="1:29" ht="13.5" thickBot="1">
      <c r="A49" s="172"/>
      <c r="B49" s="217"/>
      <c r="C49" s="217"/>
      <c r="D49" s="217"/>
      <c r="E49" s="232"/>
      <c r="F49" s="232"/>
      <c r="G49" s="232"/>
      <c r="H49" s="217"/>
      <c r="I49" s="232"/>
      <c r="J49" s="217"/>
      <c r="K49" s="233"/>
      <c r="L49" s="172"/>
      <c r="M49" s="172"/>
    </row>
    <row r="50" spans="1:29" ht="13.5" thickBot="1">
      <c r="A50" s="172"/>
      <c r="B50" s="234" t="s">
        <v>495</v>
      </c>
      <c r="C50" s="235"/>
      <c r="D50" s="235"/>
      <c r="E50" s="236"/>
      <c r="F50" s="236"/>
      <c r="G50" s="237">
        <f>G32+G36-G42</f>
        <v>4147.930000000003</v>
      </c>
      <c r="H50" s="217"/>
      <c r="I50" s="232"/>
      <c r="J50" s="217"/>
      <c r="K50" s="233"/>
      <c r="L50" s="172"/>
      <c r="M50" s="172"/>
    </row>
    <row r="51" spans="1:29">
      <c r="A51" s="172"/>
      <c r="B51" s="172"/>
      <c r="C51" s="172"/>
      <c r="D51" s="172"/>
      <c r="E51" s="172"/>
      <c r="F51" s="172"/>
      <c r="G51" s="172"/>
      <c r="H51" s="172"/>
      <c r="I51" s="172"/>
      <c r="J51" s="172"/>
      <c r="K51" s="172"/>
      <c r="L51" s="172"/>
      <c r="M51" s="172"/>
    </row>
    <row r="52" spans="1:29">
      <c r="A52" s="145"/>
    </row>
    <row r="54" spans="1:29">
      <c r="A54" s="238"/>
      <c r="B54" s="238"/>
      <c r="C54" s="239"/>
      <c r="D54" s="239"/>
      <c r="E54" s="239"/>
      <c r="F54" s="238"/>
      <c r="G54" s="239"/>
      <c r="H54" s="239"/>
      <c r="I54" s="239"/>
      <c r="J54" s="239"/>
      <c r="K54" s="239"/>
      <c r="L54" s="238"/>
      <c r="M54" s="240"/>
      <c r="N54" s="238"/>
      <c r="O54" s="239"/>
      <c r="P54" s="238"/>
      <c r="Q54" s="239"/>
      <c r="R54" s="238"/>
      <c r="S54" s="238"/>
      <c r="T54" s="238"/>
      <c r="U54" s="238"/>
      <c r="V54" s="238"/>
      <c r="W54" s="238"/>
      <c r="X54" s="238"/>
      <c r="Y54" s="238"/>
      <c r="Z54" s="238"/>
      <c r="AA54" s="238"/>
      <c r="AB54" s="238"/>
      <c r="AC54" s="238"/>
    </row>
    <row r="55" spans="1:29" ht="15">
      <c r="A55" s="241"/>
      <c r="B55" s="144" t="s">
        <v>594</v>
      </c>
      <c r="C55" s="146" t="s">
        <v>511</v>
      </c>
      <c r="D55" s="349" t="s">
        <v>595</v>
      </c>
      <c r="E55" s="350"/>
      <c r="F55" s="350"/>
      <c r="G55" s="350"/>
      <c r="H55" s="350"/>
      <c r="I55" s="350"/>
      <c r="J55" s="350"/>
      <c r="K55" s="350"/>
      <c r="L55" s="351"/>
      <c r="M55" s="351"/>
      <c r="N55" s="242"/>
      <c r="O55" s="242"/>
      <c r="P55" s="242"/>
      <c r="Q55" s="242"/>
      <c r="R55" s="241"/>
      <c r="S55" s="241"/>
      <c r="T55" s="241"/>
      <c r="U55" s="241"/>
      <c r="V55" s="241"/>
      <c r="W55" s="241"/>
      <c r="X55" s="241"/>
      <c r="Y55" s="241"/>
      <c r="Z55" s="241"/>
      <c r="AA55" s="241"/>
      <c r="AB55" s="241"/>
      <c r="AC55" s="241"/>
    </row>
    <row r="56" spans="1:29" ht="13.5" thickBot="1">
      <c r="A56" s="238"/>
      <c r="B56" s="238"/>
      <c r="C56" s="239"/>
      <c r="D56" s="239"/>
      <c r="E56" s="239"/>
      <c r="F56" s="238"/>
      <c r="G56" s="239"/>
      <c r="H56" s="239"/>
      <c r="I56" s="239"/>
      <c r="J56" s="239"/>
      <c r="K56" s="239"/>
      <c r="L56" s="238"/>
      <c r="M56" s="240"/>
      <c r="N56" s="238"/>
      <c r="O56" s="239"/>
      <c r="P56" s="238"/>
      <c r="Q56" s="239"/>
      <c r="R56" s="238"/>
      <c r="S56" s="238"/>
      <c r="T56" s="238"/>
      <c r="U56" s="238"/>
      <c r="V56" s="238"/>
      <c r="W56" s="238"/>
      <c r="X56" s="238"/>
      <c r="Y56" s="238"/>
      <c r="Z56" s="238"/>
      <c r="AA56" s="238"/>
      <c r="AB56" s="238"/>
      <c r="AC56" s="238"/>
    </row>
    <row r="57" spans="1:29" ht="13.5" thickBot="1">
      <c r="A57" s="243"/>
      <c r="B57" s="244" t="s">
        <v>474</v>
      </c>
      <c r="C57" s="245"/>
      <c r="D57" s="245"/>
      <c r="E57" s="246">
        <v>33683.03</v>
      </c>
      <c r="F57" s="247"/>
      <c r="G57" s="248"/>
      <c r="H57" s="248"/>
      <c r="I57" s="248"/>
      <c r="J57" s="248"/>
      <c r="K57" s="248"/>
      <c r="L57" s="248"/>
      <c r="M57" s="249"/>
      <c r="N57" s="243"/>
      <c r="O57" s="250"/>
      <c r="P57" s="251"/>
      <c r="Q57" s="250"/>
      <c r="R57" s="251"/>
      <c r="S57" s="243"/>
      <c r="T57" s="243"/>
      <c r="U57" s="243"/>
      <c r="V57" s="243"/>
      <c r="W57" s="243"/>
      <c r="X57" s="243"/>
      <c r="Y57" s="243"/>
      <c r="Z57" s="243"/>
      <c r="AA57" s="243"/>
      <c r="AB57" s="243"/>
      <c r="AC57" s="243"/>
    </row>
    <row r="58" spans="1:29">
      <c r="A58" s="238"/>
      <c r="B58" s="252"/>
      <c r="C58" s="253" t="s">
        <v>496</v>
      </c>
      <c r="D58" s="253"/>
      <c r="E58" s="253" t="s">
        <v>498</v>
      </c>
      <c r="F58" s="254"/>
      <c r="G58" s="253" t="s">
        <v>475</v>
      </c>
      <c r="H58" s="253"/>
      <c r="I58" s="253" t="s">
        <v>596</v>
      </c>
      <c r="J58" s="253"/>
      <c r="K58" s="253" t="s">
        <v>475</v>
      </c>
      <c r="L58" s="254"/>
      <c r="M58" s="255" t="s">
        <v>158</v>
      </c>
      <c r="N58" s="238"/>
      <c r="O58" s="256"/>
      <c r="P58" s="257"/>
      <c r="Q58" s="256"/>
      <c r="R58" s="258"/>
      <c r="S58" s="238"/>
      <c r="T58" s="238"/>
      <c r="U58" s="238"/>
      <c r="V58" s="238"/>
      <c r="W58" s="238"/>
      <c r="X58" s="238"/>
      <c r="Y58" s="238"/>
      <c r="Z58" s="238"/>
      <c r="AA58" s="238"/>
      <c r="AB58" s="238"/>
      <c r="AC58" s="238"/>
    </row>
    <row r="59" spans="1:29">
      <c r="A59" s="238"/>
      <c r="B59" s="259" t="s">
        <v>477</v>
      </c>
      <c r="C59" s="260"/>
      <c r="D59" s="260"/>
      <c r="E59" s="260"/>
      <c r="F59" s="258"/>
      <c r="G59" s="260"/>
      <c r="H59" s="260"/>
      <c r="I59" s="260"/>
      <c r="J59" s="260"/>
      <c r="K59" s="260"/>
      <c r="L59" s="258"/>
      <c r="M59" s="261"/>
      <c r="N59" s="238"/>
      <c r="O59" s="256"/>
      <c r="P59" s="262"/>
      <c r="Q59" s="256"/>
      <c r="R59" s="258"/>
      <c r="S59" s="238"/>
      <c r="T59" s="238"/>
      <c r="U59" s="238"/>
      <c r="V59" s="238"/>
      <c r="W59" s="238"/>
      <c r="X59" s="238"/>
      <c r="Y59" s="238"/>
      <c r="Z59" s="238"/>
      <c r="AA59" s="238"/>
      <c r="AB59" s="238"/>
      <c r="AC59" s="238"/>
    </row>
    <row r="60" spans="1:29">
      <c r="A60" s="238"/>
      <c r="B60" s="263" t="s">
        <v>480</v>
      </c>
      <c r="C60" s="260">
        <v>4250</v>
      </c>
      <c r="D60" s="260"/>
      <c r="E60" s="260">
        <v>4250</v>
      </c>
      <c r="F60" s="258"/>
      <c r="G60" s="260">
        <f>E60-C60</f>
        <v>0</v>
      </c>
      <c r="H60" s="260"/>
      <c r="I60" s="260" t="e">
        <f>E60+#REF!</f>
        <v>#REF!</v>
      </c>
      <c r="J60" s="260"/>
      <c r="K60" s="260" t="e">
        <f>I60-C60</f>
        <v>#REF!</v>
      </c>
      <c r="L60" s="258"/>
      <c r="M60" s="261"/>
      <c r="N60" s="238"/>
      <c r="O60" s="260"/>
      <c r="P60" s="258"/>
      <c r="Q60" s="260"/>
      <c r="R60" s="258"/>
      <c r="S60" s="238"/>
      <c r="T60" s="238"/>
      <c r="U60" s="238"/>
      <c r="V60" s="238"/>
      <c r="W60" s="238"/>
      <c r="X60" s="238"/>
      <c r="Y60" s="238"/>
      <c r="Z60" s="238"/>
      <c r="AA60" s="238"/>
      <c r="AB60" s="238"/>
      <c r="AC60" s="238"/>
    </row>
    <row r="61" spans="1:29" ht="38.25">
      <c r="A61" s="238"/>
      <c r="B61" s="263" t="s">
        <v>597</v>
      </c>
      <c r="C61" s="260">
        <v>3000</v>
      </c>
      <c r="D61" s="260"/>
      <c r="E61" s="260">
        <v>0</v>
      </c>
      <c r="F61" s="258"/>
      <c r="G61" s="260">
        <f>E61-C61</f>
        <v>-3000</v>
      </c>
      <c r="H61" s="260"/>
      <c r="I61" s="260" t="e">
        <f>E61+#REF!</f>
        <v>#REF!</v>
      </c>
      <c r="J61" s="260"/>
      <c r="K61" s="260" t="e">
        <f>I61-C61</f>
        <v>#REF!</v>
      </c>
      <c r="L61" s="258"/>
      <c r="M61" s="261" t="s">
        <v>598</v>
      </c>
      <c r="N61" s="238"/>
      <c r="O61" s="260"/>
      <c r="P61" s="258"/>
      <c r="Q61" s="260"/>
      <c r="R61" s="258"/>
      <c r="S61" s="238"/>
      <c r="T61" s="238"/>
      <c r="U61" s="238"/>
      <c r="V61" s="238"/>
      <c r="W61" s="238"/>
      <c r="X61" s="238"/>
      <c r="Y61" s="238"/>
      <c r="Z61" s="238"/>
      <c r="AA61" s="238"/>
      <c r="AB61" s="238"/>
      <c r="AC61" s="238"/>
    </row>
    <row r="62" spans="1:29">
      <c r="A62" s="238"/>
      <c r="B62" s="263" t="s">
        <v>599</v>
      </c>
      <c r="C62" s="260"/>
      <c r="D62" s="260"/>
      <c r="E62" s="260"/>
      <c r="F62" s="258"/>
      <c r="G62" s="260">
        <f>E62-C62</f>
        <v>0</v>
      </c>
      <c r="H62" s="260"/>
      <c r="I62" s="260" t="e">
        <f>E62+#REF!</f>
        <v>#REF!</v>
      </c>
      <c r="J62" s="260"/>
      <c r="K62" s="260" t="e">
        <f>I62-C62</f>
        <v>#REF!</v>
      </c>
      <c r="L62" s="258"/>
      <c r="M62" s="261"/>
      <c r="N62" s="238"/>
      <c r="O62" s="264"/>
      <c r="P62" s="265"/>
      <c r="Q62" s="264"/>
      <c r="R62" s="258"/>
      <c r="S62" s="238"/>
      <c r="T62" s="238"/>
      <c r="U62" s="238"/>
      <c r="V62" s="238"/>
      <c r="W62" s="238"/>
      <c r="X62" s="238"/>
      <c r="Y62" s="238"/>
      <c r="Z62" s="238"/>
      <c r="AA62" s="238"/>
      <c r="AB62" s="238"/>
      <c r="AC62" s="238"/>
    </row>
    <row r="63" spans="1:29">
      <c r="A63" s="238"/>
      <c r="B63" s="263" t="s">
        <v>600</v>
      </c>
      <c r="C63" s="260">
        <v>12000</v>
      </c>
      <c r="D63" s="256"/>
      <c r="E63" s="266">
        <v>4858.05</v>
      </c>
      <c r="F63" s="258"/>
      <c r="G63" s="260">
        <f>E63-C63</f>
        <v>-7141.95</v>
      </c>
      <c r="H63" s="260"/>
      <c r="I63" s="260" t="e">
        <f>E63+#REF!</f>
        <v>#REF!</v>
      </c>
      <c r="J63" s="260"/>
      <c r="K63" s="260" t="e">
        <f>I63-C63</f>
        <v>#REF!</v>
      </c>
      <c r="L63" s="258"/>
      <c r="M63" s="267"/>
      <c r="N63" s="238"/>
      <c r="O63" s="256"/>
      <c r="P63" s="258"/>
      <c r="Q63" s="256"/>
      <c r="R63" s="258"/>
      <c r="S63" s="238"/>
      <c r="T63" s="238"/>
      <c r="U63" s="238"/>
      <c r="V63" s="238"/>
      <c r="W63" s="238"/>
      <c r="X63" s="238"/>
      <c r="Y63" s="238"/>
      <c r="Z63" s="238"/>
      <c r="AA63" s="238"/>
      <c r="AB63" s="238"/>
      <c r="AC63" s="238"/>
    </row>
    <row r="64" spans="1:29">
      <c r="A64" s="238"/>
      <c r="B64" s="259" t="s">
        <v>13</v>
      </c>
      <c r="C64" s="256">
        <f>SUM(C60:C63)</f>
        <v>19250</v>
      </c>
      <c r="D64" s="256"/>
      <c r="E64" s="256">
        <f t="shared" ref="E64:K64" si="1">SUM(E60:E63)</f>
        <v>9108.0499999999993</v>
      </c>
      <c r="F64" s="256"/>
      <c r="G64" s="256">
        <f t="shared" si="1"/>
        <v>-10141.950000000001</v>
      </c>
      <c r="H64" s="256"/>
      <c r="I64" s="256" t="e">
        <f t="shared" si="1"/>
        <v>#REF!</v>
      </c>
      <c r="J64" s="256"/>
      <c r="K64" s="256" t="e">
        <f t="shared" si="1"/>
        <v>#REF!</v>
      </c>
      <c r="L64" s="258"/>
      <c r="M64" s="261"/>
      <c r="N64" s="238"/>
      <c r="O64" s="260"/>
      <c r="P64" s="258"/>
      <c r="Q64" s="260"/>
      <c r="R64" s="258"/>
      <c r="S64" s="238"/>
      <c r="T64" s="238"/>
      <c r="U64" s="238"/>
      <c r="V64" s="238"/>
      <c r="W64" s="238"/>
      <c r="X64" s="238"/>
      <c r="Y64" s="238"/>
      <c r="Z64" s="238"/>
      <c r="AA64" s="238"/>
      <c r="AB64" s="238"/>
      <c r="AC64" s="238"/>
    </row>
    <row r="65" spans="1:29">
      <c r="A65" s="238"/>
      <c r="B65" s="263"/>
      <c r="C65" s="260"/>
      <c r="D65" s="260"/>
      <c r="E65" s="260"/>
      <c r="F65" s="258"/>
      <c r="G65" s="256"/>
      <c r="H65" s="256"/>
      <c r="I65" s="256"/>
      <c r="J65" s="256"/>
      <c r="K65" s="256"/>
      <c r="L65" s="258"/>
      <c r="M65" s="267"/>
      <c r="N65" s="238"/>
      <c r="O65" s="256"/>
      <c r="P65" s="258"/>
      <c r="Q65" s="256"/>
      <c r="R65" s="258"/>
      <c r="S65" s="238"/>
      <c r="T65" s="238"/>
      <c r="U65" s="238"/>
      <c r="V65" s="238"/>
      <c r="W65" s="238"/>
      <c r="X65" s="238"/>
      <c r="Y65" s="238"/>
      <c r="Z65" s="238"/>
      <c r="AA65" s="238"/>
      <c r="AB65" s="238"/>
      <c r="AC65" s="238"/>
    </row>
    <row r="66" spans="1:29">
      <c r="A66" s="243"/>
      <c r="B66" s="259" t="s">
        <v>481</v>
      </c>
      <c r="C66" s="260"/>
      <c r="D66" s="250"/>
      <c r="E66" s="268"/>
      <c r="F66" s="251"/>
      <c r="G66" s="250"/>
      <c r="H66" s="250"/>
      <c r="I66" s="250"/>
      <c r="J66" s="250"/>
      <c r="K66" s="250"/>
      <c r="L66" s="251"/>
      <c r="M66" s="269"/>
      <c r="N66" s="243"/>
      <c r="O66" s="250"/>
      <c r="P66" s="251"/>
      <c r="Q66" s="250"/>
      <c r="R66" s="251"/>
      <c r="S66" s="243"/>
      <c r="T66" s="243"/>
      <c r="U66" s="243"/>
      <c r="V66" s="243"/>
      <c r="W66" s="243"/>
      <c r="X66" s="243"/>
      <c r="Y66" s="243"/>
      <c r="Z66" s="243"/>
      <c r="AA66" s="243"/>
      <c r="AB66" s="243"/>
      <c r="AC66" s="243"/>
    </row>
    <row r="67" spans="1:29">
      <c r="A67" s="243"/>
      <c r="B67" s="270" t="s">
        <v>196</v>
      </c>
      <c r="C67" s="260">
        <v>0</v>
      </c>
      <c r="D67" s="250"/>
      <c r="E67" s="268">
        <v>8</v>
      </c>
      <c r="F67" s="251"/>
      <c r="G67" s="260">
        <f>C67-E67</f>
        <v>-8</v>
      </c>
      <c r="H67" s="260"/>
      <c r="I67" s="260" t="e">
        <f>E67+#REF!</f>
        <v>#REF!</v>
      </c>
      <c r="J67" s="260"/>
      <c r="K67" s="260" t="e">
        <f>C67-I67</f>
        <v>#REF!</v>
      </c>
      <c r="L67" s="251"/>
      <c r="M67" s="269"/>
      <c r="N67" s="243"/>
      <c r="O67" s="250"/>
      <c r="P67" s="251"/>
      <c r="Q67" s="250"/>
      <c r="R67" s="251"/>
      <c r="S67" s="243"/>
      <c r="T67" s="243"/>
      <c r="U67" s="243"/>
      <c r="V67" s="243"/>
      <c r="W67" s="243"/>
      <c r="X67" s="243"/>
      <c r="Y67" s="243"/>
      <c r="Z67" s="243"/>
      <c r="AA67" s="243"/>
      <c r="AB67" s="243"/>
      <c r="AC67" s="243"/>
    </row>
    <row r="68" spans="1:29" ht="127.5">
      <c r="A68" s="243"/>
      <c r="B68" s="270" t="s">
        <v>483</v>
      </c>
      <c r="C68" s="260">
        <v>0</v>
      </c>
      <c r="D68" s="250"/>
      <c r="E68" s="268">
        <v>1040</v>
      </c>
      <c r="F68" s="251"/>
      <c r="G68" s="260">
        <f t="shared" ref="G68:G79" si="2">C68-E68</f>
        <v>-1040</v>
      </c>
      <c r="H68" s="260"/>
      <c r="I68" s="260" t="e">
        <f>E68+#REF!</f>
        <v>#REF!</v>
      </c>
      <c r="J68" s="260"/>
      <c r="K68" s="260" t="e">
        <f t="shared" ref="K68:K79" si="3">C68-I68</f>
        <v>#REF!</v>
      </c>
      <c r="L68" s="251"/>
      <c r="M68" s="269" t="s">
        <v>601</v>
      </c>
      <c r="N68" s="243"/>
      <c r="O68" s="250"/>
      <c r="P68" s="251"/>
      <c r="Q68" s="250"/>
      <c r="R68" s="251"/>
      <c r="S68" s="243"/>
      <c r="T68" s="243"/>
      <c r="U68" s="243"/>
      <c r="V68" s="243"/>
      <c r="W68" s="243"/>
      <c r="X68" s="243"/>
      <c r="Y68" s="243"/>
      <c r="Z68" s="243"/>
      <c r="AA68" s="243"/>
      <c r="AB68" s="243"/>
      <c r="AC68" s="243"/>
    </row>
    <row r="69" spans="1:29">
      <c r="A69" s="238"/>
      <c r="B69" s="263" t="s">
        <v>602</v>
      </c>
      <c r="C69" s="260">
        <v>3000</v>
      </c>
      <c r="D69" s="260"/>
      <c r="E69" s="260">
        <v>0</v>
      </c>
      <c r="F69" s="258"/>
      <c r="G69" s="260">
        <f t="shared" si="2"/>
        <v>3000</v>
      </c>
      <c r="H69" s="260"/>
      <c r="I69" s="260" t="e">
        <f>E69+#REF!</f>
        <v>#REF!</v>
      </c>
      <c r="J69" s="260"/>
      <c r="K69" s="260" t="e">
        <f t="shared" si="3"/>
        <v>#REF!</v>
      </c>
      <c r="L69" s="258"/>
      <c r="M69" s="261"/>
      <c r="N69" s="238"/>
      <c r="O69" s="260"/>
      <c r="P69" s="258"/>
      <c r="Q69" s="260"/>
      <c r="R69" s="258"/>
      <c r="S69" s="238"/>
      <c r="T69" s="238"/>
      <c r="U69" s="238"/>
      <c r="V69" s="238"/>
      <c r="W69" s="238"/>
      <c r="X69" s="238"/>
      <c r="Y69" s="238"/>
      <c r="Z69" s="238"/>
      <c r="AA69" s="238"/>
      <c r="AB69" s="238"/>
      <c r="AC69" s="238"/>
    </row>
    <row r="70" spans="1:29">
      <c r="A70" s="238"/>
      <c r="B70" s="263" t="s">
        <v>603</v>
      </c>
      <c r="C70" s="260">
        <v>0</v>
      </c>
      <c r="D70" s="260"/>
      <c r="E70" s="260">
        <v>0</v>
      </c>
      <c r="F70" s="258"/>
      <c r="G70" s="260">
        <f t="shared" si="2"/>
        <v>0</v>
      </c>
      <c r="H70" s="260"/>
      <c r="I70" s="260" t="e">
        <f>E70+#REF!</f>
        <v>#REF!</v>
      </c>
      <c r="J70" s="260"/>
      <c r="K70" s="260" t="e">
        <f t="shared" si="3"/>
        <v>#REF!</v>
      </c>
      <c r="L70" s="258"/>
      <c r="M70" s="261"/>
      <c r="N70" s="238"/>
      <c r="O70" s="260"/>
      <c r="P70" s="258"/>
      <c r="Q70" s="260"/>
      <c r="R70" s="258"/>
      <c r="S70" s="238"/>
      <c r="T70" s="238"/>
      <c r="U70" s="238"/>
      <c r="V70" s="238"/>
      <c r="W70" s="238"/>
      <c r="X70" s="238"/>
      <c r="Y70" s="238"/>
      <c r="Z70" s="238"/>
      <c r="AA70" s="238"/>
      <c r="AB70" s="238"/>
      <c r="AC70" s="238"/>
    </row>
    <row r="71" spans="1:29">
      <c r="A71" s="238"/>
      <c r="B71" s="263" t="s">
        <v>604</v>
      </c>
      <c r="C71" s="260">
        <v>0</v>
      </c>
      <c r="D71" s="260"/>
      <c r="E71" s="260">
        <v>0</v>
      </c>
      <c r="F71" s="258"/>
      <c r="G71" s="260">
        <f t="shared" si="2"/>
        <v>0</v>
      </c>
      <c r="H71" s="260"/>
      <c r="I71" s="260" t="e">
        <f>E71+#REF!</f>
        <v>#REF!</v>
      </c>
      <c r="J71" s="260"/>
      <c r="K71" s="260" t="e">
        <f t="shared" si="3"/>
        <v>#REF!</v>
      </c>
      <c r="L71" s="258"/>
      <c r="M71" s="261"/>
      <c r="N71" s="238"/>
      <c r="O71" s="260"/>
      <c r="P71" s="258"/>
      <c r="Q71" s="260"/>
      <c r="R71" s="258"/>
      <c r="S71" s="238"/>
      <c r="T71" s="238"/>
      <c r="U71" s="238"/>
      <c r="V71" s="238"/>
      <c r="W71" s="238"/>
      <c r="X71" s="238"/>
      <c r="Y71" s="238"/>
      <c r="Z71" s="238"/>
      <c r="AA71" s="238"/>
      <c r="AB71" s="238"/>
      <c r="AC71" s="238"/>
    </row>
    <row r="72" spans="1:29">
      <c r="A72" s="238"/>
      <c r="B72" s="263" t="s">
        <v>605</v>
      </c>
      <c r="C72" s="260">
        <v>0</v>
      </c>
      <c r="D72" s="260"/>
      <c r="E72" s="260">
        <v>0</v>
      </c>
      <c r="F72" s="258"/>
      <c r="G72" s="260">
        <f t="shared" si="2"/>
        <v>0</v>
      </c>
      <c r="H72" s="260"/>
      <c r="I72" s="260" t="e">
        <f>E72+#REF!</f>
        <v>#REF!</v>
      </c>
      <c r="J72" s="260"/>
      <c r="K72" s="260" t="e">
        <f t="shared" si="3"/>
        <v>#REF!</v>
      </c>
      <c r="L72" s="258"/>
      <c r="M72" s="261"/>
      <c r="N72" s="238"/>
      <c r="O72" s="260"/>
      <c r="P72" s="258"/>
      <c r="Q72" s="260"/>
      <c r="R72" s="258"/>
      <c r="S72" s="238"/>
      <c r="T72" s="238"/>
      <c r="U72" s="238"/>
      <c r="V72" s="238"/>
      <c r="W72" s="238"/>
      <c r="X72" s="238"/>
      <c r="Y72" s="238"/>
      <c r="Z72" s="238"/>
      <c r="AA72" s="238"/>
      <c r="AB72" s="238"/>
      <c r="AC72" s="238"/>
    </row>
    <row r="73" spans="1:29">
      <c r="A73" s="238"/>
      <c r="B73" s="263" t="s">
        <v>606</v>
      </c>
      <c r="C73" s="260">
        <v>2000</v>
      </c>
      <c r="D73" s="260"/>
      <c r="E73" s="260">
        <v>0</v>
      </c>
      <c r="F73" s="258"/>
      <c r="G73" s="260">
        <f t="shared" si="2"/>
        <v>2000</v>
      </c>
      <c r="H73" s="260"/>
      <c r="I73" s="260" t="e">
        <f>E73+#REF!</f>
        <v>#REF!</v>
      </c>
      <c r="J73" s="260"/>
      <c r="K73" s="260" t="e">
        <f t="shared" si="3"/>
        <v>#REF!</v>
      </c>
      <c r="L73" s="258"/>
      <c r="M73" s="261"/>
      <c r="N73" s="238"/>
      <c r="O73" s="260"/>
      <c r="P73" s="258"/>
      <c r="Q73" s="260"/>
      <c r="R73" s="258"/>
      <c r="S73" s="238"/>
      <c r="T73" s="238"/>
      <c r="U73" s="238"/>
      <c r="V73" s="238"/>
      <c r="W73" s="238"/>
      <c r="X73" s="238"/>
      <c r="Y73" s="238"/>
      <c r="Z73" s="238"/>
      <c r="AA73" s="238"/>
      <c r="AB73" s="238"/>
      <c r="AC73" s="238"/>
    </row>
    <row r="74" spans="1:29">
      <c r="A74" s="238"/>
      <c r="B74" s="263" t="s">
        <v>607</v>
      </c>
      <c r="C74" s="260">
        <v>1000</v>
      </c>
      <c r="D74" s="260"/>
      <c r="E74" s="260">
        <v>0</v>
      </c>
      <c r="F74" s="258"/>
      <c r="G74" s="260">
        <f t="shared" si="2"/>
        <v>1000</v>
      </c>
      <c r="H74" s="260"/>
      <c r="I74" s="260" t="e">
        <f>E74+#REF!</f>
        <v>#REF!</v>
      </c>
      <c r="J74" s="260"/>
      <c r="K74" s="260" t="e">
        <f t="shared" si="3"/>
        <v>#REF!</v>
      </c>
      <c r="L74" s="258"/>
      <c r="M74" s="261"/>
      <c r="N74" s="238"/>
      <c r="O74" s="260"/>
      <c r="P74" s="258"/>
      <c r="Q74" s="260"/>
      <c r="R74" s="258"/>
      <c r="S74" s="238"/>
      <c r="T74" s="238"/>
      <c r="U74" s="238"/>
      <c r="V74" s="238"/>
      <c r="W74" s="238"/>
      <c r="X74" s="238"/>
      <c r="Y74" s="238"/>
      <c r="Z74" s="238"/>
      <c r="AA74" s="238"/>
      <c r="AB74" s="238"/>
      <c r="AC74" s="238"/>
    </row>
    <row r="75" spans="1:29">
      <c r="A75" s="238"/>
      <c r="B75" s="263" t="s">
        <v>150</v>
      </c>
      <c r="C75" s="260">
        <v>300</v>
      </c>
      <c r="D75" s="260"/>
      <c r="E75" s="260">
        <v>0</v>
      </c>
      <c r="F75" s="258"/>
      <c r="G75" s="260">
        <f t="shared" si="2"/>
        <v>300</v>
      </c>
      <c r="H75" s="260"/>
      <c r="I75" s="260" t="e">
        <f>E75+#REF!</f>
        <v>#REF!</v>
      </c>
      <c r="J75" s="260"/>
      <c r="K75" s="260" t="e">
        <f t="shared" si="3"/>
        <v>#REF!</v>
      </c>
      <c r="L75" s="258"/>
      <c r="M75" s="261"/>
      <c r="N75" s="238"/>
      <c r="O75" s="260"/>
      <c r="P75" s="258"/>
      <c r="Q75" s="260"/>
      <c r="R75" s="258"/>
      <c r="S75" s="238"/>
      <c r="T75" s="238"/>
      <c r="U75" s="238"/>
      <c r="V75" s="238"/>
      <c r="W75" s="238"/>
      <c r="X75" s="238"/>
      <c r="Y75" s="238"/>
      <c r="Z75" s="238"/>
      <c r="AA75" s="238"/>
      <c r="AB75" s="238"/>
      <c r="AC75" s="238"/>
    </row>
    <row r="76" spans="1:29">
      <c r="A76" s="238"/>
      <c r="B76" s="263" t="s">
        <v>608</v>
      </c>
      <c r="C76" s="260">
        <v>250</v>
      </c>
      <c r="D76" s="260"/>
      <c r="E76" s="260">
        <v>85</v>
      </c>
      <c r="F76" s="258"/>
      <c r="G76" s="260">
        <f t="shared" si="2"/>
        <v>165</v>
      </c>
      <c r="H76" s="260"/>
      <c r="I76" s="260" t="e">
        <f>E76+#REF!</f>
        <v>#REF!</v>
      </c>
      <c r="J76" s="260"/>
      <c r="K76" s="260" t="e">
        <f t="shared" si="3"/>
        <v>#REF!</v>
      </c>
      <c r="L76" s="258"/>
      <c r="M76" s="261"/>
      <c r="N76" s="238"/>
      <c r="O76" s="260"/>
      <c r="P76" s="258"/>
      <c r="Q76" s="260"/>
      <c r="R76" s="258"/>
      <c r="S76" s="238"/>
      <c r="T76" s="238"/>
      <c r="U76" s="238"/>
      <c r="V76" s="238"/>
      <c r="W76" s="238"/>
      <c r="X76" s="238"/>
      <c r="Y76" s="238"/>
      <c r="Z76" s="238"/>
      <c r="AA76" s="238"/>
      <c r="AB76" s="238"/>
      <c r="AC76" s="238"/>
    </row>
    <row r="77" spans="1:29">
      <c r="A77" s="238"/>
      <c r="B77" s="263" t="s">
        <v>609</v>
      </c>
      <c r="C77" s="260">
        <v>500</v>
      </c>
      <c r="D77" s="260"/>
      <c r="E77" s="260">
        <v>0</v>
      </c>
      <c r="F77" s="258"/>
      <c r="G77" s="260">
        <f t="shared" si="2"/>
        <v>500</v>
      </c>
      <c r="H77" s="260"/>
      <c r="I77" s="260" t="e">
        <f>E77+#REF!</f>
        <v>#REF!</v>
      </c>
      <c r="J77" s="260"/>
      <c r="K77" s="260" t="e">
        <f t="shared" si="3"/>
        <v>#REF!</v>
      </c>
      <c r="L77" s="258"/>
      <c r="M77" s="267"/>
      <c r="N77" s="238"/>
      <c r="O77" s="260"/>
      <c r="P77" s="258"/>
      <c r="Q77" s="260"/>
      <c r="R77" s="258"/>
      <c r="S77" s="238"/>
      <c r="T77" s="238"/>
      <c r="U77" s="238"/>
      <c r="V77" s="238"/>
      <c r="W77" s="238"/>
      <c r="X77" s="238"/>
      <c r="Y77" s="238"/>
      <c r="Z77" s="238"/>
      <c r="AA77" s="238"/>
      <c r="AB77" s="238"/>
      <c r="AC77" s="238"/>
    </row>
    <row r="78" spans="1:29">
      <c r="A78" s="238"/>
      <c r="B78" s="263" t="s">
        <v>610</v>
      </c>
      <c r="C78" s="260">
        <v>4000</v>
      </c>
      <c r="D78" s="260"/>
      <c r="E78" s="260">
        <v>0</v>
      </c>
      <c r="F78" s="258"/>
      <c r="G78" s="260">
        <f t="shared" si="2"/>
        <v>4000</v>
      </c>
      <c r="H78" s="260"/>
      <c r="I78" s="260" t="e">
        <f>E78+#REF!</f>
        <v>#REF!</v>
      </c>
      <c r="J78" s="260"/>
      <c r="K78" s="260" t="e">
        <f t="shared" si="3"/>
        <v>#REF!</v>
      </c>
      <c r="L78" s="258"/>
      <c r="M78" s="271"/>
      <c r="N78" s="238"/>
      <c r="O78" s="260"/>
      <c r="P78" s="258"/>
      <c r="Q78" s="260"/>
      <c r="R78" s="258"/>
      <c r="S78" s="238"/>
      <c r="T78" s="238"/>
      <c r="U78" s="238"/>
      <c r="V78" s="238"/>
      <c r="W78" s="238"/>
      <c r="X78" s="238"/>
      <c r="Y78" s="238"/>
      <c r="Z78" s="238"/>
      <c r="AA78" s="238"/>
      <c r="AB78" s="238"/>
      <c r="AC78" s="238"/>
    </row>
    <row r="79" spans="1:29">
      <c r="A79" s="238"/>
      <c r="B79" s="263" t="s">
        <v>564</v>
      </c>
      <c r="C79" s="260">
        <v>0</v>
      </c>
      <c r="D79" s="260"/>
      <c r="E79" s="266">
        <v>0</v>
      </c>
      <c r="F79" s="258"/>
      <c r="G79" s="260">
        <f t="shared" si="2"/>
        <v>0</v>
      </c>
      <c r="H79" s="260"/>
      <c r="I79" s="260" t="e">
        <f>E79+#REF!</f>
        <v>#REF!</v>
      </c>
      <c r="J79" s="260"/>
      <c r="K79" s="260" t="e">
        <f t="shared" si="3"/>
        <v>#REF!</v>
      </c>
      <c r="L79" s="258"/>
      <c r="M79" s="261"/>
      <c r="N79" s="238"/>
      <c r="O79" s="256"/>
      <c r="P79" s="258"/>
      <c r="Q79" s="256"/>
      <c r="R79" s="258"/>
      <c r="S79" s="238"/>
      <c r="T79" s="238"/>
      <c r="U79" s="238"/>
      <c r="V79" s="238"/>
      <c r="W79" s="238"/>
      <c r="X79" s="238"/>
      <c r="Y79" s="238"/>
      <c r="Z79" s="238"/>
      <c r="AA79" s="238"/>
      <c r="AB79" s="238"/>
      <c r="AC79" s="238"/>
    </row>
    <row r="80" spans="1:29">
      <c r="A80" s="238"/>
      <c r="B80" s="259" t="s">
        <v>13</v>
      </c>
      <c r="C80" s="256">
        <f>SUM(C67:C79)</f>
        <v>11050</v>
      </c>
      <c r="D80" s="256"/>
      <c r="E80" s="256">
        <f>SUM(E67:E79)</f>
        <v>1133</v>
      </c>
      <c r="F80" s="256"/>
      <c r="G80" s="256">
        <f>SUM(G67:G79)</f>
        <v>9917</v>
      </c>
      <c r="H80" s="256"/>
      <c r="I80" s="256" t="e">
        <f>SUM(I76:I79)</f>
        <v>#REF!</v>
      </c>
      <c r="J80" s="256"/>
      <c r="K80" s="256" t="e">
        <f>SUM(K76:K79)</f>
        <v>#REF!</v>
      </c>
      <c r="L80" s="258"/>
      <c r="M80" s="261"/>
      <c r="N80" s="238"/>
      <c r="O80" s="260"/>
      <c r="P80" s="258"/>
      <c r="Q80" s="260"/>
      <c r="R80" s="258"/>
      <c r="S80" s="238"/>
      <c r="T80" s="238"/>
      <c r="U80" s="238"/>
      <c r="V80" s="238"/>
      <c r="W80" s="238"/>
      <c r="X80" s="238"/>
      <c r="Y80" s="238"/>
      <c r="Z80" s="238"/>
      <c r="AA80" s="238"/>
      <c r="AB80" s="238"/>
      <c r="AC80" s="238"/>
    </row>
    <row r="81" spans="1:29">
      <c r="A81" s="238"/>
      <c r="B81" s="259"/>
      <c r="C81" s="256"/>
      <c r="D81" s="260"/>
      <c r="E81" s="260"/>
      <c r="F81" s="258"/>
      <c r="G81" s="260"/>
      <c r="H81" s="260"/>
      <c r="I81" s="260"/>
      <c r="J81" s="260"/>
      <c r="K81" s="260"/>
      <c r="L81" s="258"/>
      <c r="M81" s="261"/>
      <c r="N81" s="238"/>
      <c r="O81" s="260"/>
      <c r="P81" s="258"/>
      <c r="Q81" s="260"/>
      <c r="R81" s="258"/>
      <c r="S81" s="238"/>
      <c r="T81" s="238"/>
      <c r="U81" s="238"/>
      <c r="V81" s="238"/>
      <c r="W81" s="238"/>
      <c r="X81" s="238"/>
      <c r="Y81" s="238"/>
      <c r="Z81" s="238"/>
      <c r="AA81" s="238"/>
      <c r="AB81" s="238"/>
      <c r="AC81" s="238"/>
    </row>
    <row r="82" spans="1:29">
      <c r="A82" s="238"/>
      <c r="B82" s="259" t="s">
        <v>484</v>
      </c>
      <c r="C82" s="256">
        <f>C64-C80</f>
        <v>8200</v>
      </c>
      <c r="D82" s="272"/>
      <c r="E82" s="272">
        <f>E64-E80</f>
        <v>7975.0499999999993</v>
      </c>
      <c r="F82" s="258"/>
      <c r="G82" s="272">
        <f>G64-G80</f>
        <v>-20058.95</v>
      </c>
      <c r="H82" s="272"/>
      <c r="I82" s="272" t="e">
        <f>I64-I80</f>
        <v>#REF!</v>
      </c>
      <c r="J82" s="272"/>
      <c r="K82" s="272" t="e">
        <f>K64-K80</f>
        <v>#REF!</v>
      </c>
      <c r="L82" s="258"/>
      <c r="M82" s="261"/>
      <c r="N82" s="238"/>
      <c r="O82" s="260"/>
      <c r="P82" s="258"/>
      <c r="Q82" s="260"/>
      <c r="R82" s="258"/>
      <c r="S82" s="238"/>
      <c r="T82" s="238"/>
      <c r="U82" s="238"/>
      <c r="V82" s="238"/>
      <c r="W82" s="238"/>
      <c r="X82" s="238"/>
      <c r="Y82" s="238"/>
      <c r="Z82" s="238"/>
      <c r="AA82" s="238"/>
      <c r="AB82" s="238"/>
      <c r="AC82" s="238"/>
    </row>
    <row r="83" spans="1:29" ht="13.5" thickBot="1">
      <c r="A83" s="238"/>
      <c r="B83" s="263"/>
      <c r="C83" s="260"/>
      <c r="D83" s="273"/>
      <c r="E83" s="273"/>
      <c r="F83" s="274"/>
      <c r="G83" s="273"/>
      <c r="H83" s="273"/>
      <c r="I83" s="273"/>
      <c r="J83" s="273"/>
      <c r="K83" s="273"/>
      <c r="L83" s="274"/>
      <c r="M83" s="275"/>
      <c r="N83" s="238"/>
      <c r="O83" s="276"/>
      <c r="P83" s="265"/>
      <c r="Q83" s="276"/>
      <c r="R83" s="258"/>
      <c r="S83" s="238"/>
      <c r="T83" s="238"/>
      <c r="U83" s="238"/>
      <c r="V83" s="238"/>
      <c r="W83" s="238"/>
      <c r="X83" s="238"/>
      <c r="Y83" s="238"/>
      <c r="Z83" s="238"/>
      <c r="AA83" s="238"/>
      <c r="AB83" s="238"/>
      <c r="AC83" s="238"/>
    </row>
    <row r="84" spans="1:29" ht="13.5" thickBot="1">
      <c r="A84" s="243"/>
      <c r="B84" s="277" t="s">
        <v>611</v>
      </c>
      <c r="C84" s="278"/>
      <c r="D84" s="279"/>
      <c r="E84" s="280">
        <f>E57+E82</f>
        <v>41658.080000000002</v>
      </c>
      <c r="F84" s="243"/>
      <c r="G84" s="281"/>
      <c r="H84" s="281"/>
      <c r="I84" s="281"/>
      <c r="J84" s="281"/>
      <c r="K84" s="281"/>
      <c r="L84" s="243"/>
      <c r="M84" s="282"/>
      <c r="N84" s="243"/>
      <c r="O84" s="272"/>
      <c r="P84" s="251"/>
      <c r="Q84" s="272"/>
      <c r="R84" s="251"/>
      <c r="S84" s="243"/>
      <c r="T84" s="243"/>
      <c r="U84" s="243"/>
      <c r="V84" s="243"/>
      <c r="W84" s="243"/>
      <c r="X84" s="243"/>
      <c r="Y84" s="243"/>
      <c r="Z84" s="243"/>
      <c r="AA84" s="243"/>
      <c r="AB84" s="243"/>
      <c r="AC84" s="243"/>
    </row>
    <row r="85" spans="1:29" ht="13.5" thickBot="1">
      <c r="A85" s="238"/>
      <c r="B85" s="283"/>
      <c r="C85" s="284"/>
      <c r="D85" s="284"/>
      <c r="E85" s="284"/>
      <c r="F85" s="238"/>
      <c r="G85" s="284"/>
      <c r="H85" s="284"/>
      <c r="I85" s="284"/>
      <c r="J85" s="284"/>
      <c r="K85" s="284"/>
      <c r="L85" s="238"/>
      <c r="M85" s="285"/>
      <c r="N85" s="238"/>
      <c r="O85" s="284"/>
      <c r="P85" s="238"/>
      <c r="Q85" s="284"/>
      <c r="R85" s="238"/>
      <c r="S85" s="238"/>
      <c r="T85" s="238"/>
      <c r="U85" s="238"/>
      <c r="V85" s="238"/>
      <c r="W85" s="238"/>
      <c r="X85" s="238"/>
      <c r="Y85" s="238"/>
      <c r="Z85" s="238"/>
      <c r="AA85" s="238"/>
      <c r="AB85" s="238"/>
      <c r="AC85" s="238"/>
    </row>
    <row r="86" spans="1:29">
      <c r="A86" s="238"/>
      <c r="B86" s="286" t="s">
        <v>486</v>
      </c>
      <c r="C86" s="287"/>
      <c r="D86" s="287"/>
      <c r="E86" s="253"/>
      <c r="F86" s="288"/>
      <c r="G86" s="289"/>
      <c r="H86" s="289"/>
      <c r="I86" s="289"/>
      <c r="J86" s="289"/>
      <c r="K86" s="289"/>
      <c r="L86" s="288"/>
      <c r="M86" s="255"/>
      <c r="N86" s="238"/>
      <c r="O86" s="284"/>
      <c r="P86" s="238"/>
      <c r="Q86" s="284"/>
      <c r="R86" s="238"/>
      <c r="S86" s="238"/>
      <c r="T86" s="238"/>
      <c r="U86" s="238"/>
      <c r="V86" s="238"/>
      <c r="W86" s="238"/>
      <c r="X86" s="238"/>
      <c r="Y86" s="238"/>
      <c r="Z86" s="238"/>
      <c r="AA86" s="238"/>
      <c r="AB86" s="238"/>
      <c r="AC86" s="238"/>
    </row>
    <row r="87" spans="1:29">
      <c r="A87" s="238"/>
      <c r="B87" s="263"/>
      <c r="C87" s="260"/>
      <c r="D87" s="260"/>
      <c r="E87" s="256" t="s">
        <v>487</v>
      </c>
      <c r="F87" s="258"/>
      <c r="G87" s="290" t="s">
        <v>488</v>
      </c>
      <c r="H87" s="290"/>
      <c r="I87" s="290"/>
      <c r="J87" s="290"/>
      <c r="K87" s="290"/>
      <c r="L87" s="258"/>
      <c r="M87" s="261"/>
      <c r="N87" s="238"/>
      <c r="O87" s="239"/>
      <c r="P87" s="238"/>
      <c r="Q87" s="239"/>
      <c r="R87" s="238"/>
      <c r="S87" s="238"/>
      <c r="T87" s="238"/>
      <c r="U87" s="238"/>
      <c r="V87" s="238"/>
      <c r="W87" s="238"/>
      <c r="X87" s="238"/>
      <c r="Y87" s="238"/>
      <c r="Z87" s="238"/>
      <c r="AA87" s="238"/>
      <c r="AB87" s="238"/>
      <c r="AC87" s="238"/>
    </row>
    <row r="88" spans="1:29">
      <c r="A88" s="238"/>
      <c r="B88" s="291" t="s">
        <v>490</v>
      </c>
      <c r="C88" s="260"/>
      <c r="D88" s="260"/>
      <c r="E88" s="256">
        <f>SUM(E89:E90)</f>
        <v>15606.05</v>
      </c>
      <c r="F88" s="258"/>
      <c r="G88" s="292"/>
      <c r="H88" s="292"/>
      <c r="I88" s="292"/>
      <c r="J88" s="292"/>
      <c r="K88" s="292"/>
      <c r="L88" s="258"/>
      <c r="M88" s="261"/>
      <c r="N88" s="238"/>
      <c r="O88" s="239"/>
      <c r="P88" s="238"/>
      <c r="Q88" s="239"/>
      <c r="R88" s="238"/>
      <c r="S88" s="238"/>
      <c r="T88" s="238"/>
      <c r="U88" s="238"/>
      <c r="V88" s="238"/>
      <c r="W88" s="238"/>
      <c r="X88" s="238"/>
      <c r="Y88" s="238"/>
      <c r="Z88" s="238"/>
      <c r="AA88" s="238"/>
      <c r="AB88" s="238"/>
      <c r="AC88" s="238"/>
    </row>
    <row r="89" spans="1:29">
      <c r="A89" s="238"/>
      <c r="B89" s="263" t="s">
        <v>612</v>
      </c>
      <c r="C89" s="260"/>
      <c r="D89" s="260"/>
      <c r="E89" s="260">
        <v>15000</v>
      </c>
      <c r="F89" s="258"/>
      <c r="G89" s="292" t="s">
        <v>613</v>
      </c>
      <c r="H89" s="292"/>
      <c r="I89" s="292"/>
      <c r="J89" s="292"/>
      <c r="K89" s="292"/>
      <c r="L89" s="258"/>
      <c r="M89" s="261"/>
      <c r="N89" s="238"/>
      <c r="O89" s="239"/>
      <c r="P89" s="238"/>
      <c r="Q89" s="239"/>
      <c r="R89" s="238"/>
      <c r="S89" s="238"/>
      <c r="T89" s="238"/>
      <c r="U89" s="238"/>
      <c r="V89" s="238"/>
      <c r="W89" s="238"/>
      <c r="X89" s="238"/>
      <c r="Y89" s="238"/>
      <c r="Z89" s="238"/>
      <c r="AA89" s="238"/>
      <c r="AB89" s="238"/>
      <c r="AC89" s="238"/>
    </row>
    <row r="90" spans="1:29">
      <c r="A90" s="238"/>
      <c r="B90" s="263" t="s">
        <v>614</v>
      </c>
      <c r="C90" s="260"/>
      <c r="D90" s="260"/>
      <c r="E90" s="260">
        <f>534.05+72</f>
        <v>606.04999999999995</v>
      </c>
      <c r="F90" s="258"/>
      <c r="G90" s="292" t="s">
        <v>615</v>
      </c>
      <c r="H90" s="292"/>
      <c r="I90" s="292"/>
      <c r="J90" s="292"/>
      <c r="K90" s="292"/>
      <c r="L90" s="258"/>
      <c r="M90" s="293"/>
      <c r="N90" s="238"/>
      <c r="O90" s="239"/>
      <c r="P90" s="238"/>
      <c r="Q90" s="239"/>
      <c r="R90" s="238"/>
      <c r="S90" s="238"/>
      <c r="T90" s="238"/>
      <c r="U90" s="238"/>
      <c r="V90" s="238"/>
      <c r="W90" s="238"/>
      <c r="X90" s="238"/>
      <c r="Y90" s="238"/>
      <c r="Z90" s="238"/>
      <c r="AA90" s="238"/>
      <c r="AB90" s="238"/>
      <c r="AC90" s="238"/>
    </row>
    <row r="91" spans="1:29">
      <c r="A91" s="238"/>
      <c r="B91" s="263"/>
      <c r="C91" s="260"/>
      <c r="D91" s="260"/>
      <c r="E91" s="260"/>
      <c r="F91" s="258"/>
      <c r="G91" s="292"/>
      <c r="H91" s="292"/>
      <c r="I91" s="292"/>
      <c r="J91" s="292"/>
      <c r="K91" s="292"/>
      <c r="L91" s="258"/>
      <c r="M91" s="293"/>
      <c r="N91" s="238"/>
      <c r="O91" s="239"/>
      <c r="P91" s="238"/>
      <c r="Q91" s="239"/>
      <c r="R91" s="238"/>
      <c r="S91" s="238"/>
      <c r="T91" s="238"/>
      <c r="U91" s="238"/>
      <c r="V91" s="238"/>
      <c r="W91" s="238"/>
      <c r="X91" s="238"/>
      <c r="Y91" s="238"/>
      <c r="Z91" s="238"/>
      <c r="AA91" s="238"/>
      <c r="AB91" s="238"/>
      <c r="AC91" s="238"/>
    </row>
    <row r="92" spans="1:29">
      <c r="A92" s="238"/>
      <c r="B92" s="294" t="s">
        <v>616</v>
      </c>
      <c r="C92" s="260"/>
      <c r="D92" s="260"/>
      <c r="E92" s="295">
        <f>E93</f>
        <v>3000</v>
      </c>
      <c r="F92" s="258"/>
      <c r="G92" s="292"/>
      <c r="H92" s="292"/>
      <c r="I92" s="292"/>
      <c r="J92" s="292"/>
      <c r="K92" s="292"/>
      <c r="L92" s="258"/>
      <c r="M92" s="293"/>
      <c r="N92" s="238"/>
      <c r="O92" s="239"/>
      <c r="P92" s="238"/>
      <c r="Q92" s="239"/>
      <c r="R92" s="238"/>
      <c r="S92" s="238"/>
      <c r="T92" s="238"/>
      <c r="U92" s="238"/>
      <c r="V92" s="238"/>
      <c r="W92" s="238"/>
      <c r="X92" s="238"/>
      <c r="Y92" s="238"/>
      <c r="Z92" s="238"/>
      <c r="AA92" s="238"/>
      <c r="AB92" s="238"/>
      <c r="AC92" s="238"/>
    </row>
    <row r="93" spans="1:29">
      <c r="A93" s="238"/>
      <c r="B93" s="270" t="s">
        <v>597</v>
      </c>
      <c r="C93" s="260"/>
      <c r="D93" s="260"/>
      <c r="E93" s="260">
        <v>3000</v>
      </c>
      <c r="F93" s="258"/>
      <c r="G93" s="292"/>
      <c r="H93" s="292"/>
      <c r="I93" s="292"/>
      <c r="J93" s="292"/>
      <c r="K93" s="292"/>
      <c r="L93" s="258"/>
      <c r="M93" s="293"/>
      <c r="N93" s="238"/>
      <c r="O93" s="239"/>
      <c r="P93" s="238"/>
      <c r="Q93" s="239"/>
      <c r="R93" s="238"/>
      <c r="S93" s="238"/>
      <c r="T93" s="238"/>
      <c r="U93" s="238"/>
      <c r="V93" s="238"/>
      <c r="W93" s="238"/>
      <c r="X93" s="238"/>
      <c r="Y93" s="238"/>
      <c r="Z93" s="238"/>
      <c r="AA93" s="238"/>
      <c r="AB93" s="238"/>
      <c r="AC93" s="238"/>
    </row>
    <row r="94" spans="1:29">
      <c r="A94" s="238"/>
      <c r="B94" s="263"/>
      <c r="C94" s="260"/>
      <c r="D94" s="260"/>
      <c r="E94" s="260"/>
      <c r="F94" s="258"/>
      <c r="G94" s="292"/>
      <c r="H94" s="292"/>
      <c r="I94" s="292"/>
      <c r="J94" s="292"/>
      <c r="K94" s="292"/>
      <c r="L94" s="258"/>
      <c r="M94" s="261"/>
      <c r="N94" s="238"/>
      <c r="O94" s="239"/>
      <c r="P94" s="238"/>
      <c r="Q94" s="239"/>
      <c r="R94" s="238"/>
      <c r="S94" s="238"/>
      <c r="T94" s="238"/>
      <c r="U94" s="238"/>
      <c r="V94" s="238"/>
      <c r="W94" s="238"/>
      <c r="X94" s="238"/>
      <c r="Y94" s="238"/>
      <c r="Z94" s="238"/>
      <c r="AA94" s="238"/>
      <c r="AB94" s="238"/>
      <c r="AC94" s="238"/>
    </row>
    <row r="95" spans="1:29" ht="13.5" thickBot="1">
      <c r="A95" s="238"/>
      <c r="B95" s="296" t="s">
        <v>494</v>
      </c>
      <c r="C95" s="297"/>
      <c r="D95" s="297"/>
      <c r="E95" s="273">
        <f>E82-E88+E92</f>
        <v>-4631</v>
      </c>
      <c r="F95" s="274"/>
      <c r="G95" s="298"/>
      <c r="H95" s="298"/>
      <c r="I95" s="298"/>
      <c r="J95" s="298"/>
      <c r="K95" s="298"/>
      <c r="L95" s="274"/>
      <c r="M95" s="299"/>
      <c r="N95" s="238"/>
      <c r="O95" s="239"/>
      <c r="P95" s="238"/>
      <c r="Q95" s="239"/>
      <c r="R95" s="238"/>
      <c r="S95" s="238"/>
      <c r="T95" s="238"/>
      <c r="U95" s="238"/>
      <c r="V95" s="238"/>
      <c r="W95" s="238"/>
      <c r="X95" s="238"/>
      <c r="Y95" s="238"/>
      <c r="Z95" s="238"/>
      <c r="AA95" s="238"/>
      <c r="AB95" s="238"/>
      <c r="AC95" s="238"/>
    </row>
    <row r="96" spans="1:29" ht="13.5" thickBot="1">
      <c r="A96" s="238"/>
      <c r="B96" s="262"/>
      <c r="C96" s="239"/>
      <c r="D96" s="239"/>
      <c r="E96" s="239"/>
      <c r="F96" s="238"/>
      <c r="G96" s="239"/>
      <c r="H96" s="239"/>
      <c r="I96" s="239"/>
      <c r="J96" s="239"/>
      <c r="K96" s="239"/>
      <c r="L96" s="238"/>
      <c r="M96" s="240"/>
      <c r="N96" s="238"/>
      <c r="O96" s="239"/>
      <c r="P96" s="238"/>
      <c r="Q96" s="239"/>
      <c r="R96" s="238"/>
      <c r="S96" s="238"/>
      <c r="T96" s="238"/>
      <c r="U96" s="238"/>
      <c r="V96" s="238"/>
      <c r="W96" s="238"/>
      <c r="X96" s="238"/>
      <c r="Y96" s="238"/>
      <c r="Z96" s="238"/>
      <c r="AA96" s="238"/>
      <c r="AB96" s="238"/>
      <c r="AC96" s="238"/>
    </row>
    <row r="97" spans="1:29" ht="13.5" thickBot="1">
      <c r="A97" s="238"/>
      <c r="B97" s="277" t="s">
        <v>495</v>
      </c>
      <c r="C97" s="300"/>
      <c r="D97" s="300"/>
      <c r="E97" s="301">
        <f>E84-E88+E92</f>
        <v>29052.030000000002</v>
      </c>
      <c r="F97" s="238"/>
      <c r="G97" s="243"/>
      <c r="H97" s="243"/>
      <c r="I97" s="243"/>
      <c r="J97" s="243"/>
      <c r="K97" s="243"/>
      <c r="L97" s="238"/>
      <c r="M97" s="240"/>
      <c r="N97" s="238"/>
      <c r="O97" s="239"/>
      <c r="P97" s="238"/>
      <c r="Q97" s="239"/>
      <c r="R97" s="238"/>
      <c r="S97" s="238"/>
      <c r="T97" s="238"/>
      <c r="U97" s="238"/>
      <c r="V97" s="238"/>
      <c r="W97" s="238"/>
      <c r="X97" s="238"/>
      <c r="Y97" s="238"/>
      <c r="Z97" s="238"/>
      <c r="AA97" s="238"/>
      <c r="AB97" s="238"/>
      <c r="AC97" s="238"/>
    </row>
    <row r="98" spans="1:29">
      <c r="A98" s="238"/>
      <c r="B98" s="238"/>
      <c r="C98" s="239"/>
      <c r="D98" s="239"/>
      <c r="E98" s="239"/>
      <c r="F98" s="238"/>
      <c r="G98" s="239"/>
      <c r="H98" s="239"/>
      <c r="I98" s="239"/>
      <c r="J98" s="239"/>
      <c r="K98" s="239"/>
      <c r="L98" s="238"/>
      <c r="M98" s="240"/>
      <c r="N98" s="238"/>
      <c r="O98" s="239"/>
      <c r="P98" s="238"/>
      <c r="Q98" s="239"/>
      <c r="R98" s="238"/>
      <c r="S98" s="238"/>
      <c r="T98" s="238"/>
      <c r="U98" s="238"/>
      <c r="V98" s="238"/>
      <c r="W98" s="238"/>
      <c r="X98" s="238"/>
      <c r="Y98" s="238"/>
      <c r="Z98" s="238"/>
      <c r="AA98" s="238"/>
      <c r="AB98" s="238"/>
      <c r="AC98" s="238"/>
    </row>
    <row r="99" spans="1:29">
      <c r="A99" s="238"/>
      <c r="B99" s="238"/>
      <c r="C99" s="239"/>
      <c r="D99" s="239"/>
      <c r="E99" s="239"/>
      <c r="F99" s="238"/>
      <c r="G99" s="239"/>
      <c r="H99" s="238"/>
      <c r="I99" s="240"/>
      <c r="J99" s="238"/>
      <c r="K99" s="239"/>
      <c r="L99" s="238"/>
      <c r="M99" s="240"/>
      <c r="N99" s="238"/>
      <c r="O99" s="239"/>
      <c r="P99" s="238"/>
      <c r="Q99" s="239"/>
      <c r="R99" s="238"/>
      <c r="S99" s="238"/>
      <c r="T99" s="238"/>
      <c r="U99" s="238"/>
      <c r="V99" s="238"/>
      <c r="W99" s="238"/>
      <c r="X99" s="238"/>
      <c r="Y99" s="238"/>
      <c r="Z99" s="238"/>
      <c r="AA99" s="238"/>
      <c r="AB99" s="238"/>
      <c r="AC99" s="238"/>
    </row>
    <row r="100" spans="1:29" ht="76.5">
      <c r="A100" s="241"/>
      <c r="B100" s="144" t="s">
        <v>594</v>
      </c>
      <c r="C100" s="146" t="s">
        <v>511</v>
      </c>
      <c r="D100" s="349" t="s">
        <v>617</v>
      </c>
      <c r="E100" s="350"/>
      <c r="F100" s="350"/>
      <c r="G100" s="350"/>
      <c r="H100" s="351"/>
      <c r="I100" s="351"/>
      <c r="J100" s="242" t="s">
        <v>618</v>
      </c>
    </row>
    <row r="101" spans="1:29" ht="13.5" thickBot="1">
      <c r="A101" s="238"/>
      <c r="B101" s="238"/>
      <c r="C101" s="239"/>
      <c r="D101" s="239"/>
      <c r="E101" s="239"/>
      <c r="F101" s="238"/>
      <c r="G101" s="239"/>
      <c r="H101" s="238"/>
      <c r="I101" s="240"/>
      <c r="J101" s="238"/>
    </row>
    <row r="102" spans="1:29" ht="13.5" thickBot="1">
      <c r="A102" s="243"/>
      <c r="B102" s="244" t="s">
        <v>474</v>
      </c>
      <c r="C102" s="245"/>
      <c r="D102" s="245"/>
      <c r="E102" s="246">
        <v>34445.53</v>
      </c>
      <c r="F102" s="247"/>
      <c r="G102" s="248"/>
      <c r="H102" s="248"/>
      <c r="I102" s="249"/>
      <c r="J102" s="243"/>
    </row>
    <row r="103" spans="1:29">
      <c r="A103" s="238"/>
      <c r="B103" s="252"/>
      <c r="C103" s="253" t="s">
        <v>496</v>
      </c>
      <c r="D103" s="253"/>
      <c r="E103" s="253" t="s">
        <v>498</v>
      </c>
      <c r="F103" s="254"/>
      <c r="G103" s="253" t="s">
        <v>475</v>
      </c>
      <c r="H103" s="254"/>
      <c r="I103" s="255" t="s">
        <v>158</v>
      </c>
      <c r="J103" s="238"/>
    </row>
    <row r="104" spans="1:29">
      <c r="A104" s="238"/>
      <c r="B104" s="259" t="s">
        <v>477</v>
      </c>
      <c r="C104" s="260"/>
      <c r="D104" s="260"/>
      <c r="E104" s="260"/>
      <c r="F104" s="258"/>
      <c r="G104" s="260"/>
      <c r="H104" s="258"/>
      <c r="I104" s="261"/>
      <c r="J104" s="238"/>
    </row>
    <row r="105" spans="1:29">
      <c r="A105" s="238"/>
      <c r="B105" s="263" t="s">
        <v>480</v>
      </c>
      <c r="C105" s="260">
        <v>4250</v>
      </c>
      <c r="D105" s="260"/>
      <c r="E105" s="260">
        <v>0</v>
      </c>
      <c r="F105" s="258"/>
      <c r="G105" s="260">
        <f>E105-C105</f>
        <v>-4250</v>
      </c>
      <c r="H105" s="258"/>
      <c r="I105" s="261"/>
      <c r="J105" s="238"/>
    </row>
    <row r="106" spans="1:29">
      <c r="A106" s="238"/>
      <c r="B106" s="263" t="s">
        <v>597</v>
      </c>
      <c r="C106" s="260">
        <v>3000</v>
      </c>
      <c r="D106" s="260"/>
      <c r="E106" s="260">
        <v>0</v>
      </c>
      <c r="F106" s="258"/>
      <c r="G106" s="260">
        <f>E106-C106</f>
        <v>-3000</v>
      </c>
      <c r="H106" s="258"/>
      <c r="I106" s="261"/>
      <c r="J106" s="238"/>
    </row>
    <row r="107" spans="1:29">
      <c r="A107" s="238"/>
      <c r="B107" s="263" t="s">
        <v>599</v>
      </c>
      <c r="C107" s="260"/>
      <c r="D107" s="260"/>
      <c r="E107" s="260"/>
      <c r="F107" s="258"/>
      <c r="G107" s="260">
        <f>E107-C107</f>
        <v>0</v>
      </c>
      <c r="H107" s="258"/>
      <c r="I107" s="261"/>
      <c r="J107" s="238"/>
    </row>
    <row r="108" spans="1:29">
      <c r="A108" s="238"/>
      <c r="B108" s="263" t="s">
        <v>600</v>
      </c>
      <c r="C108" s="260">
        <v>12000</v>
      </c>
      <c r="D108" s="256"/>
      <c r="E108" s="266">
        <v>15</v>
      </c>
      <c r="F108" s="258"/>
      <c r="G108" s="260">
        <f>E108-C108</f>
        <v>-11985</v>
      </c>
      <c r="H108" s="258"/>
      <c r="I108" s="267"/>
      <c r="J108" s="238"/>
    </row>
    <row r="109" spans="1:29">
      <c r="A109" s="238"/>
      <c r="B109" s="259" t="s">
        <v>13</v>
      </c>
      <c r="C109" s="256">
        <f>SUM(C105:C108)</f>
        <v>19250</v>
      </c>
      <c r="D109" s="256"/>
      <c r="E109" s="256">
        <f>SUM(E105:E108)</f>
        <v>15</v>
      </c>
      <c r="F109" s="256"/>
      <c r="G109" s="256">
        <f>SUM(G105:G108)</f>
        <v>-19235</v>
      </c>
      <c r="H109" s="258"/>
      <c r="I109" s="261"/>
      <c r="J109" s="238"/>
    </row>
    <row r="110" spans="1:29">
      <c r="A110" s="238"/>
      <c r="B110" s="263"/>
      <c r="C110" s="260"/>
      <c r="D110" s="260"/>
      <c r="E110" s="260"/>
      <c r="F110" s="258"/>
      <c r="G110" s="256"/>
      <c r="H110" s="258"/>
      <c r="I110" s="267"/>
      <c r="J110" s="238"/>
    </row>
    <row r="111" spans="1:29">
      <c r="A111" s="243"/>
      <c r="B111" s="259" t="s">
        <v>481</v>
      </c>
      <c r="C111" s="260"/>
      <c r="D111" s="250"/>
      <c r="E111" s="268"/>
      <c r="F111" s="251"/>
      <c r="G111" s="250"/>
      <c r="H111" s="251"/>
      <c r="I111" s="269"/>
      <c r="J111" s="243"/>
    </row>
    <row r="112" spans="1:29">
      <c r="A112" s="243"/>
      <c r="B112" s="270" t="s">
        <v>196</v>
      </c>
      <c r="C112" s="260">
        <v>0</v>
      </c>
      <c r="D112" s="250"/>
      <c r="E112" s="268">
        <v>0</v>
      </c>
      <c r="F112" s="251"/>
      <c r="G112" s="260">
        <f t="shared" ref="G112:G124" si="4">C112-E112</f>
        <v>0</v>
      </c>
      <c r="H112" s="251"/>
      <c r="I112" s="269"/>
      <c r="J112" s="243"/>
    </row>
    <row r="113" spans="1:10" ht="89.25">
      <c r="A113" s="243"/>
      <c r="B113" s="270" t="s">
        <v>483</v>
      </c>
      <c r="C113" s="260">
        <v>0</v>
      </c>
      <c r="D113" s="250"/>
      <c r="E113" s="268">
        <v>777.5</v>
      </c>
      <c r="F113" s="251"/>
      <c r="G113" s="260">
        <f t="shared" si="4"/>
        <v>-777.5</v>
      </c>
      <c r="H113" s="251"/>
      <c r="I113" s="269" t="s">
        <v>619</v>
      </c>
      <c r="J113" s="243"/>
    </row>
    <row r="114" spans="1:10">
      <c r="A114" s="238"/>
      <c r="B114" s="263" t="s">
        <v>602</v>
      </c>
      <c r="C114" s="260">
        <v>3000</v>
      </c>
      <c r="D114" s="260"/>
      <c r="E114" s="260">
        <v>0</v>
      </c>
      <c r="F114" s="258"/>
      <c r="G114" s="260">
        <f t="shared" si="4"/>
        <v>3000</v>
      </c>
      <c r="H114" s="258"/>
      <c r="I114" s="261"/>
      <c r="J114" s="238"/>
    </row>
    <row r="115" spans="1:10">
      <c r="A115" s="238"/>
      <c r="B115" s="263" t="s">
        <v>603</v>
      </c>
      <c r="C115" s="260">
        <v>0</v>
      </c>
      <c r="D115" s="260"/>
      <c r="E115" s="260">
        <v>0</v>
      </c>
      <c r="F115" s="258"/>
      <c r="G115" s="260">
        <f t="shared" si="4"/>
        <v>0</v>
      </c>
      <c r="H115" s="258"/>
      <c r="I115" s="261"/>
      <c r="J115" s="238"/>
    </row>
    <row r="116" spans="1:10">
      <c r="A116" s="238"/>
      <c r="B116" s="263" t="s">
        <v>604</v>
      </c>
      <c r="C116" s="260">
        <v>0</v>
      </c>
      <c r="D116" s="260"/>
      <c r="E116" s="260">
        <v>0</v>
      </c>
      <c r="F116" s="258"/>
      <c r="G116" s="260">
        <f t="shared" si="4"/>
        <v>0</v>
      </c>
      <c r="H116" s="258"/>
      <c r="I116" s="261"/>
      <c r="J116" s="238"/>
    </row>
    <row r="117" spans="1:10">
      <c r="A117" s="238"/>
      <c r="B117" s="263" t="s">
        <v>605</v>
      </c>
      <c r="C117" s="260">
        <v>0</v>
      </c>
      <c r="D117" s="260"/>
      <c r="E117" s="260">
        <v>0</v>
      </c>
      <c r="F117" s="258"/>
      <c r="G117" s="260">
        <f t="shared" si="4"/>
        <v>0</v>
      </c>
      <c r="H117" s="258"/>
      <c r="I117" s="261"/>
      <c r="J117" s="238"/>
    </row>
    <row r="118" spans="1:10">
      <c r="A118" s="238"/>
      <c r="B118" s="263" t="s">
        <v>606</v>
      </c>
      <c r="C118" s="260">
        <v>2000</v>
      </c>
      <c r="D118" s="260"/>
      <c r="E118" s="260">
        <v>0</v>
      </c>
      <c r="F118" s="258"/>
      <c r="G118" s="260">
        <f t="shared" si="4"/>
        <v>2000</v>
      </c>
      <c r="H118" s="258"/>
      <c r="I118" s="261"/>
      <c r="J118" s="238"/>
    </row>
    <row r="119" spans="1:10">
      <c r="A119" s="238"/>
      <c r="B119" s="263" t="s">
        <v>607</v>
      </c>
      <c r="C119" s="260">
        <v>1000</v>
      </c>
      <c r="D119" s="260"/>
      <c r="E119" s="260">
        <v>0</v>
      </c>
      <c r="F119" s="258"/>
      <c r="G119" s="260">
        <f t="shared" si="4"/>
        <v>1000</v>
      </c>
      <c r="H119" s="258"/>
      <c r="I119" s="261"/>
      <c r="J119" s="238"/>
    </row>
    <row r="120" spans="1:10">
      <c r="A120" s="238"/>
      <c r="B120" s="263" t="s">
        <v>150</v>
      </c>
      <c r="C120" s="260">
        <v>300</v>
      </c>
      <c r="D120" s="260"/>
      <c r="E120" s="260">
        <v>0</v>
      </c>
      <c r="F120" s="258"/>
      <c r="G120" s="260">
        <f t="shared" si="4"/>
        <v>300</v>
      </c>
      <c r="H120" s="258"/>
      <c r="I120" s="261"/>
      <c r="J120" s="238"/>
    </row>
    <row r="121" spans="1:10">
      <c r="A121" s="238"/>
      <c r="B121" s="263" t="s">
        <v>608</v>
      </c>
      <c r="C121" s="260">
        <v>250</v>
      </c>
      <c r="D121" s="260"/>
      <c r="E121" s="260">
        <v>0</v>
      </c>
      <c r="F121" s="258"/>
      <c r="G121" s="260">
        <f t="shared" si="4"/>
        <v>250</v>
      </c>
      <c r="H121" s="258"/>
      <c r="I121" s="261"/>
      <c r="J121" s="238"/>
    </row>
    <row r="122" spans="1:10">
      <c r="A122" s="238"/>
      <c r="B122" s="263" t="s">
        <v>609</v>
      </c>
      <c r="C122" s="260">
        <v>500</v>
      </c>
      <c r="D122" s="260"/>
      <c r="E122" s="260">
        <v>0</v>
      </c>
      <c r="F122" s="258"/>
      <c r="G122" s="260">
        <f t="shared" si="4"/>
        <v>500</v>
      </c>
      <c r="H122" s="258"/>
      <c r="I122" s="267"/>
      <c r="J122" s="238"/>
    </row>
    <row r="123" spans="1:10">
      <c r="A123" s="238"/>
      <c r="B123" s="263" t="s">
        <v>610</v>
      </c>
      <c r="C123" s="260">
        <v>4000</v>
      </c>
      <c r="D123" s="260"/>
      <c r="E123" s="260">
        <v>0</v>
      </c>
      <c r="F123" s="258"/>
      <c r="G123" s="260">
        <f t="shared" si="4"/>
        <v>4000</v>
      </c>
      <c r="H123" s="258"/>
      <c r="I123" s="271"/>
      <c r="J123" s="238"/>
    </row>
    <row r="124" spans="1:10">
      <c r="A124" s="238"/>
      <c r="B124" s="263" t="s">
        <v>564</v>
      </c>
      <c r="C124" s="260">
        <v>0</v>
      </c>
      <c r="D124" s="260"/>
      <c r="E124" s="266">
        <v>0</v>
      </c>
      <c r="F124" s="258"/>
      <c r="G124" s="260">
        <f t="shared" si="4"/>
        <v>0</v>
      </c>
      <c r="H124" s="258"/>
      <c r="I124" s="261"/>
      <c r="J124" s="238"/>
    </row>
    <row r="125" spans="1:10">
      <c r="A125" s="238"/>
      <c r="B125" s="259" t="s">
        <v>13</v>
      </c>
      <c r="C125" s="256">
        <f>SUM(C112:C124)</f>
        <v>11050</v>
      </c>
      <c r="D125" s="256"/>
      <c r="E125" s="256">
        <f>SUM(E112:E124)</f>
        <v>777.5</v>
      </c>
      <c r="F125" s="256"/>
      <c r="G125" s="256">
        <f>SUM(G112:G124)</f>
        <v>10272.5</v>
      </c>
      <c r="H125" s="258"/>
      <c r="I125" s="261"/>
      <c r="J125" s="238"/>
    </row>
    <row r="126" spans="1:10">
      <c r="A126" s="238"/>
      <c r="B126" s="259"/>
      <c r="C126" s="256"/>
      <c r="D126" s="260"/>
      <c r="E126" s="260"/>
      <c r="F126" s="258"/>
      <c r="G126" s="260"/>
      <c r="H126" s="258"/>
      <c r="I126" s="261"/>
      <c r="J126" s="238"/>
    </row>
    <row r="127" spans="1:10">
      <c r="A127" s="238"/>
      <c r="B127" s="259" t="s">
        <v>484</v>
      </c>
      <c r="C127" s="256">
        <f>C109-C125</f>
        <v>8200</v>
      </c>
      <c r="D127" s="272"/>
      <c r="E127" s="272">
        <f>E109-E125</f>
        <v>-762.5</v>
      </c>
      <c r="F127" s="258"/>
      <c r="G127" s="272">
        <f>G109-G125</f>
        <v>-29507.5</v>
      </c>
      <c r="H127" s="258"/>
      <c r="I127" s="261"/>
      <c r="J127" s="238"/>
    </row>
    <row r="128" spans="1:10" ht="13.5" thickBot="1">
      <c r="A128" s="238"/>
      <c r="B128" s="263"/>
      <c r="C128" s="260"/>
      <c r="D128" s="273"/>
      <c r="E128" s="273"/>
      <c r="F128" s="274"/>
      <c r="G128" s="273"/>
      <c r="H128" s="274"/>
      <c r="I128" s="275"/>
      <c r="J128" s="238"/>
    </row>
    <row r="129" spans="1:10" ht="13.5" thickBot="1">
      <c r="A129" s="243"/>
      <c r="B129" s="277" t="s">
        <v>611</v>
      </c>
      <c r="C129" s="278"/>
      <c r="D129" s="279"/>
      <c r="E129" s="280">
        <f>E102+E127</f>
        <v>33683.03</v>
      </c>
      <c r="F129" s="243"/>
      <c r="G129" s="281"/>
      <c r="H129" s="243"/>
      <c r="I129" s="282"/>
      <c r="J129" s="243"/>
    </row>
    <row r="130" spans="1:10" ht="13.5" thickBot="1">
      <c r="A130" s="238"/>
      <c r="B130" s="283"/>
      <c r="C130" s="284"/>
      <c r="D130" s="284"/>
      <c r="E130" s="284"/>
      <c r="F130" s="238"/>
      <c r="G130" s="284"/>
      <c r="H130" s="238"/>
      <c r="I130" s="285"/>
      <c r="J130" s="238"/>
    </row>
    <row r="131" spans="1:10">
      <c r="A131" s="238"/>
      <c r="B131" s="286" t="s">
        <v>486</v>
      </c>
      <c r="C131" s="287"/>
      <c r="D131" s="287"/>
      <c r="E131" s="253"/>
      <c r="F131" s="288"/>
      <c r="G131" s="289"/>
      <c r="H131" s="288"/>
      <c r="I131" s="255"/>
      <c r="J131" s="238"/>
    </row>
    <row r="132" spans="1:10">
      <c r="A132" s="238"/>
      <c r="B132" s="263"/>
      <c r="C132" s="260"/>
      <c r="D132" s="260"/>
      <c r="E132" s="256" t="s">
        <v>487</v>
      </c>
      <c r="F132" s="258"/>
      <c r="G132" s="290" t="s">
        <v>488</v>
      </c>
      <c r="H132" s="258"/>
      <c r="I132" s="261"/>
      <c r="J132" s="238"/>
    </row>
    <row r="133" spans="1:10">
      <c r="A133" s="238"/>
      <c r="B133" s="291" t="s">
        <v>490</v>
      </c>
      <c r="C133" s="260"/>
      <c r="D133" s="260"/>
      <c r="E133" s="256">
        <f>SUM(E134:E137)</f>
        <v>16950.900000000001</v>
      </c>
      <c r="F133" s="258"/>
      <c r="G133" s="292"/>
      <c r="H133" s="258"/>
      <c r="I133" s="261"/>
      <c r="J133" s="238"/>
    </row>
    <row r="134" spans="1:10">
      <c r="A134" s="238"/>
      <c r="B134" s="263" t="s">
        <v>612</v>
      </c>
      <c r="C134" s="260"/>
      <c r="D134" s="260"/>
      <c r="E134" s="260">
        <v>15000</v>
      </c>
      <c r="F134" s="258"/>
      <c r="G134" s="292"/>
      <c r="H134" s="258"/>
      <c r="I134" s="261"/>
      <c r="J134" s="238"/>
    </row>
    <row r="135" spans="1:10">
      <c r="A135" s="238"/>
      <c r="B135" s="263" t="s">
        <v>620</v>
      </c>
      <c r="C135" s="260"/>
      <c r="D135" s="260"/>
      <c r="E135" s="260">
        <v>744.85</v>
      </c>
      <c r="F135" s="258"/>
      <c r="G135" s="292"/>
      <c r="H135" s="258"/>
      <c r="I135" s="293"/>
      <c r="J135" s="238"/>
    </row>
    <row r="136" spans="1:10">
      <c r="A136" s="238"/>
      <c r="B136" s="263" t="s">
        <v>621</v>
      </c>
      <c r="C136" s="260"/>
      <c r="D136" s="260"/>
      <c r="E136" s="260">
        <f>540+60</f>
        <v>600</v>
      </c>
      <c r="F136" s="258"/>
      <c r="G136" s="292"/>
      <c r="H136" s="258"/>
      <c r="I136" s="293"/>
      <c r="J136" s="238"/>
    </row>
    <row r="137" spans="1:10">
      <c r="A137" s="238"/>
      <c r="B137" s="263" t="s">
        <v>614</v>
      </c>
      <c r="C137" s="260"/>
      <c r="D137" s="260"/>
      <c r="E137" s="260">
        <f>534.05+72</f>
        <v>606.04999999999995</v>
      </c>
      <c r="F137" s="258"/>
      <c r="G137" s="292"/>
      <c r="H137" s="258"/>
      <c r="I137" s="293"/>
      <c r="J137" s="238"/>
    </row>
    <row r="138" spans="1:10">
      <c r="A138" s="238"/>
      <c r="B138" s="263"/>
      <c r="C138" s="260"/>
      <c r="D138" s="260"/>
      <c r="E138" s="260"/>
      <c r="F138" s="258"/>
      <c r="G138" s="292"/>
      <c r="H138" s="258"/>
      <c r="I138" s="261"/>
      <c r="J138" s="238"/>
    </row>
    <row r="139" spans="1:10" ht="13.5" thickBot="1">
      <c r="A139" s="238"/>
      <c r="B139" s="296" t="s">
        <v>494</v>
      </c>
      <c r="C139" s="297"/>
      <c r="D139" s="297"/>
      <c r="E139" s="273">
        <f>E128-E133</f>
        <v>-16950.900000000001</v>
      </c>
      <c r="F139" s="274"/>
      <c r="G139" s="298"/>
      <c r="H139" s="274"/>
      <c r="I139" s="299"/>
      <c r="J139" s="238"/>
    </row>
    <row r="140" spans="1:10" ht="13.5" thickBot="1">
      <c r="A140" s="238"/>
      <c r="B140" s="262"/>
      <c r="C140" s="239"/>
      <c r="D140" s="239"/>
      <c r="E140" s="239"/>
      <c r="F140" s="238"/>
      <c r="G140" s="239"/>
      <c r="H140" s="238"/>
      <c r="I140" s="240"/>
      <c r="J140" s="238"/>
    </row>
    <row r="141" spans="1:10" ht="13.5" thickBot="1">
      <c r="A141" s="238"/>
      <c r="B141" s="277" t="s">
        <v>495</v>
      </c>
      <c r="C141" s="300"/>
      <c r="D141" s="300"/>
      <c r="E141" s="301">
        <f>E129-E133</f>
        <v>16732.129999999997</v>
      </c>
      <c r="F141" s="238"/>
      <c r="G141" s="243"/>
      <c r="H141" s="238"/>
      <c r="I141" s="240"/>
      <c r="J141" s="238"/>
    </row>
  </sheetData>
  <mergeCells count="3">
    <mergeCell ref="F2:K2"/>
    <mergeCell ref="D55:M55"/>
    <mergeCell ref="D100:I100"/>
  </mergeCells>
  <phoneticPr fontId="2"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sheetPr enableFormatConditionsCalculation="0">
    <tabColor indexed="10"/>
  </sheetPr>
  <dimension ref="A1:S100"/>
  <sheetViews>
    <sheetView workbookViewId="0"/>
  </sheetViews>
  <sheetFormatPr defaultRowHeight="12.75"/>
  <cols>
    <col min="2" max="2" width="51.7109375" bestFit="1" customWidth="1"/>
    <col min="17" max="17" width="49.140625" customWidth="1"/>
    <col min="18" max="18" width="51.28515625" customWidth="1"/>
  </cols>
  <sheetData>
    <row r="1" spans="1:19">
      <c r="A1" s="172"/>
      <c r="B1" s="172"/>
      <c r="C1" s="172"/>
      <c r="D1" s="172"/>
      <c r="E1" s="172"/>
      <c r="F1" s="172"/>
      <c r="G1" s="172"/>
      <c r="H1" s="172"/>
      <c r="I1" s="172"/>
      <c r="J1" s="172"/>
      <c r="K1" s="172"/>
      <c r="L1" s="172"/>
      <c r="M1" s="172"/>
      <c r="N1" s="172"/>
      <c r="O1" s="172"/>
      <c r="P1" s="172"/>
      <c r="Q1" s="172"/>
      <c r="R1" s="172"/>
      <c r="S1" s="172"/>
    </row>
    <row r="2" spans="1:19" ht="18">
      <c r="A2" s="172"/>
      <c r="B2" s="173" t="s">
        <v>473</v>
      </c>
      <c r="C2" s="173"/>
      <c r="D2" s="173"/>
      <c r="E2" s="174" t="s">
        <v>511</v>
      </c>
      <c r="F2" s="346" t="s">
        <v>622</v>
      </c>
      <c r="G2" s="347"/>
      <c r="H2" s="347"/>
      <c r="I2" s="347"/>
      <c r="J2" s="348"/>
      <c r="K2" s="348"/>
      <c r="L2" s="172"/>
      <c r="M2" s="172"/>
      <c r="N2" s="172"/>
      <c r="O2" s="172"/>
      <c r="P2" s="172"/>
      <c r="Q2" s="172"/>
      <c r="R2" s="172"/>
      <c r="S2" s="172"/>
    </row>
    <row r="3" spans="1:19" ht="15.75" thickBot="1">
      <c r="A3" s="172"/>
      <c r="B3" s="175"/>
      <c r="C3" s="175"/>
      <c r="D3" s="175"/>
      <c r="E3" s="176"/>
      <c r="F3" s="177"/>
      <c r="G3" s="178"/>
      <c r="H3" s="178"/>
      <c r="I3" s="178"/>
      <c r="J3" s="179"/>
      <c r="K3" s="180"/>
      <c r="L3" s="172"/>
      <c r="M3" s="172"/>
      <c r="N3" s="172"/>
      <c r="O3" s="172"/>
      <c r="P3" s="172"/>
      <c r="Q3" s="172"/>
      <c r="R3" s="172"/>
      <c r="S3" s="172"/>
    </row>
    <row r="4" spans="1:19" ht="13.5" thickBot="1">
      <c r="A4" s="172"/>
      <c r="B4" s="181" t="s">
        <v>474</v>
      </c>
      <c r="C4" s="182"/>
      <c r="D4" s="182"/>
      <c r="E4" s="183"/>
      <c r="F4" s="183"/>
      <c r="G4" s="184">
        <v>828.59</v>
      </c>
      <c r="H4" s="185"/>
      <c r="I4" s="186"/>
      <c r="J4" s="185"/>
      <c r="K4" s="187"/>
      <c r="L4" s="172"/>
      <c r="M4" s="172"/>
      <c r="N4" s="172"/>
      <c r="O4" s="172"/>
      <c r="P4" s="172"/>
      <c r="Q4" s="172"/>
      <c r="R4" s="172"/>
      <c r="S4" s="172"/>
    </row>
    <row r="5" spans="1:19">
      <c r="A5" s="172"/>
      <c r="B5" s="188"/>
      <c r="C5" s="189" t="s">
        <v>496</v>
      </c>
      <c r="D5" s="189"/>
      <c r="E5" s="190" t="s">
        <v>623</v>
      </c>
      <c r="F5" s="190"/>
      <c r="G5" s="190" t="s">
        <v>624</v>
      </c>
      <c r="H5" s="191"/>
      <c r="I5" s="190" t="s">
        <v>625</v>
      </c>
      <c r="J5" s="189"/>
      <c r="K5" s="190" t="s">
        <v>626</v>
      </c>
      <c r="L5" s="190"/>
      <c r="M5" s="190" t="s">
        <v>627</v>
      </c>
      <c r="N5" s="190"/>
      <c r="O5" s="190" t="s">
        <v>628</v>
      </c>
      <c r="P5" s="190"/>
      <c r="Q5" s="190" t="s">
        <v>158</v>
      </c>
      <c r="R5" s="190"/>
      <c r="S5" s="190"/>
    </row>
    <row r="6" spans="1:19">
      <c r="A6" s="172"/>
      <c r="B6" s="193" t="s">
        <v>477</v>
      </c>
      <c r="C6" s="194"/>
      <c r="D6" s="194"/>
      <c r="E6" s="195"/>
      <c r="F6" s="195"/>
      <c r="G6" s="195"/>
      <c r="H6" s="195"/>
      <c r="I6" s="195"/>
      <c r="J6" s="194"/>
      <c r="K6" s="195"/>
      <c r="L6" s="195"/>
      <c r="M6" s="195"/>
      <c r="N6" s="195"/>
      <c r="O6" s="195"/>
      <c r="P6" s="195"/>
      <c r="Q6" s="195"/>
      <c r="R6" s="195"/>
      <c r="S6" s="195"/>
    </row>
    <row r="7" spans="1:19">
      <c r="A7" s="172"/>
      <c r="B7" s="197" t="s">
        <v>478</v>
      </c>
      <c r="C7" s="198">
        <v>3100</v>
      </c>
      <c r="D7" s="198"/>
      <c r="E7" s="198">
        <v>1120</v>
      </c>
      <c r="F7" s="198"/>
      <c r="G7" s="198">
        <f>M7-V7</f>
        <v>1696</v>
      </c>
      <c r="H7" s="199"/>
      <c r="I7" s="198">
        <f t="shared" ref="I7:I13" si="0">G7-E7</f>
        <v>576</v>
      </c>
      <c r="J7" s="198"/>
      <c r="K7" s="198">
        <v>2020</v>
      </c>
      <c r="L7" s="198"/>
      <c r="M7" s="302">
        <v>1696</v>
      </c>
      <c r="N7" s="198"/>
      <c r="O7" s="198">
        <f t="shared" ref="O7:O13" si="1">M7-K7</f>
        <v>-324</v>
      </c>
      <c r="P7" s="198"/>
      <c r="Q7" s="355" t="s">
        <v>629</v>
      </c>
      <c r="R7" s="356"/>
      <c r="S7" s="198"/>
    </row>
    <row r="8" spans="1:19">
      <c r="A8" s="172"/>
      <c r="B8" s="197" t="s">
        <v>479</v>
      </c>
      <c r="C8" s="198">
        <v>1400</v>
      </c>
      <c r="D8" s="198"/>
      <c r="E8" s="201">
        <v>600</v>
      </c>
      <c r="F8" s="201"/>
      <c r="G8" s="198">
        <f t="shared" ref="G8:G13" si="2">M8-V8</f>
        <v>3474</v>
      </c>
      <c r="H8" s="202"/>
      <c r="I8" s="201">
        <f t="shared" si="0"/>
        <v>2874</v>
      </c>
      <c r="J8" s="198"/>
      <c r="K8" s="201">
        <v>1000</v>
      </c>
      <c r="L8" s="201"/>
      <c r="M8" s="303">
        <v>3474</v>
      </c>
      <c r="N8" s="201"/>
      <c r="O8" s="201">
        <f t="shared" si="1"/>
        <v>2474</v>
      </c>
      <c r="P8" s="201"/>
      <c r="Q8" s="352" t="s">
        <v>630</v>
      </c>
      <c r="R8" s="353"/>
      <c r="S8" s="201"/>
    </row>
    <row r="9" spans="1:19">
      <c r="A9" s="172"/>
      <c r="B9" s="197" t="s">
        <v>480</v>
      </c>
      <c r="C9" s="198">
        <v>6650</v>
      </c>
      <c r="D9" s="198"/>
      <c r="E9" s="201">
        <v>0</v>
      </c>
      <c r="F9" s="201"/>
      <c r="G9" s="198">
        <f t="shared" si="2"/>
        <v>6650</v>
      </c>
      <c r="H9" s="202"/>
      <c r="I9" s="201">
        <f t="shared" si="0"/>
        <v>6650</v>
      </c>
      <c r="J9" s="198"/>
      <c r="K9" s="201">
        <v>6650</v>
      </c>
      <c r="L9" s="201"/>
      <c r="M9" s="303">
        <v>6650</v>
      </c>
      <c r="N9" s="201"/>
      <c r="O9" s="201">
        <f t="shared" si="1"/>
        <v>0</v>
      </c>
      <c r="P9" s="201"/>
      <c r="Q9" s="304"/>
      <c r="R9" s="201"/>
      <c r="S9" s="201"/>
    </row>
    <row r="10" spans="1:19">
      <c r="A10" s="172"/>
      <c r="B10" s="197" t="s">
        <v>149</v>
      </c>
      <c r="C10" s="198">
        <v>0</v>
      </c>
      <c r="D10" s="198"/>
      <c r="E10" s="201">
        <v>0</v>
      </c>
      <c r="F10" s="201"/>
      <c r="G10" s="198">
        <f t="shared" si="2"/>
        <v>1.17</v>
      </c>
      <c r="H10" s="202"/>
      <c r="I10" s="201">
        <f t="shared" si="0"/>
        <v>1.17</v>
      </c>
      <c r="J10" s="198"/>
      <c r="K10" s="201">
        <v>0</v>
      </c>
      <c r="L10" s="201"/>
      <c r="M10" s="303">
        <v>1.17</v>
      </c>
      <c r="N10" s="201"/>
      <c r="O10" s="201">
        <f t="shared" si="1"/>
        <v>1.17</v>
      </c>
      <c r="P10" s="201"/>
      <c r="Q10" s="304"/>
      <c r="R10" s="201"/>
      <c r="S10" s="201"/>
    </row>
    <row r="11" spans="1:19">
      <c r="A11" s="172"/>
      <c r="B11" s="197" t="s">
        <v>501</v>
      </c>
      <c r="C11" s="198">
        <v>0</v>
      </c>
      <c r="D11" s="198"/>
      <c r="E11" s="201">
        <v>0</v>
      </c>
      <c r="F11" s="201"/>
      <c r="G11" s="198">
        <f t="shared" si="2"/>
        <v>427.2</v>
      </c>
      <c r="H11" s="202"/>
      <c r="I11" s="201">
        <f t="shared" si="0"/>
        <v>427.2</v>
      </c>
      <c r="J11" s="198"/>
      <c r="K11" s="201">
        <v>0</v>
      </c>
      <c r="L11" s="201"/>
      <c r="M11" s="303">
        <v>427.2</v>
      </c>
      <c r="N11" s="201"/>
      <c r="O11" s="201">
        <f t="shared" si="1"/>
        <v>427.2</v>
      </c>
      <c r="P11" s="201"/>
      <c r="Q11" s="304"/>
      <c r="R11" s="201"/>
      <c r="S11" s="201"/>
    </row>
    <row r="12" spans="1:19">
      <c r="A12" s="172"/>
      <c r="B12" s="197" t="s">
        <v>556</v>
      </c>
      <c r="C12" s="198">
        <v>0</v>
      </c>
      <c r="D12" s="198"/>
      <c r="E12" s="201">
        <v>0</v>
      </c>
      <c r="F12" s="201"/>
      <c r="G12" s="198">
        <f t="shared" si="2"/>
        <v>5469.95</v>
      </c>
      <c r="H12" s="202"/>
      <c r="I12" s="201">
        <f t="shared" si="0"/>
        <v>5469.95</v>
      </c>
      <c r="J12" s="198"/>
      <c r="K12" s="201">
        <v>0</v>
      </c>
      <c r="L12" s="201"/>
      <c r="M12" s="303">
        <v>5469.95</v>
      </c>
      <c r="N12" s="201"/>
      <c r="O12" s="201">
        <f t="shared" si="1"/>
        <v>5469.95</v>
      </c>
      <c r="P12" s="201"/>
      <c r="Q12" s="352" t="s">
        <v>631</v>
      </c>
      <c r="R12" s="353"/>
      <c r="S12" s="201"/>
    </row>
    <row r="13" spans="1:19">
      <c r="A13" s="172"/>
      <c r="B13" s="197" t="s">
        <v>557</v>
      </c>
      <c r="C13" s="198">
        <v>0</v>
      </c>
      <c r="D13" s="198"/>
      <c r="E13" s="201">
        <v>0</v>
      </c>
      <c r="F13" s="201"/>
      <c r="G13" s="198">
        <f t="shared" si="2"/>
        <v>0</v>
      </c>
      <c r="H13" s="202"/>
      <c r="I13" s="201">
        <f t="shared" si="0"/>
        <v>0</v>
      </c>
      <c r="J13" s="198"/>
      <c r="K13" s="201">
        <v>0</v>
      </c>
      <c r="L13" s="201"/>
      <c r="M13" s="303">
        <v>0</v>
      </c>
      <c r="N13" s="201"/>
      <c r="O13" s="201">
        <f t="shared" si="1"/>
        <v>0</v>
      </c>
      <c r="P13" s="201"/>
      <c r="Q13" s="304"/>
      <c r="R13" s="201"/>
      <c r="S13" s="201"/>
    </row>
    <row r="14" spans="1:19">
      <c r="A14" s="172"/>
      <c r="B14" s="193" t="s">
        <v>13</v>
      </c>
      <c r="C14" s="207">
        <f>SUM(C7:C13)</f>
        <v>11150</v>
      </c>
      <c r="D14" s="194"/>
      <c r="E14" s="207">
        <f>SUM(E7:E13)</f>
        <v>1720</v>
      </c>
      <c r="F14" s="207"/>
      <c r="G14" s="207">
        <f>SUM(G7:G12)</f>
        <v>17718.32</v>
      </c>
      <c r="H14" s="202"/>
      <c r="I14" s="207">
        <f>SUM(I7:I12)</f>
        <v>15998.32</v>
      </c>
      <c r="J14" s="194"/>
      <c r="K14" s="207">
        <f>SUM(K7:K13)</f>
        <v>9670</v>
      </c>
      <c r="L14" s="207"/>
      <c r="M14" s="305">
        <f>SUM(M7:M13)</f>
        <v>17718.32</v>
      </c>
      <c r="N14" s="207"/>
      <c r="O14" s="207">
        <f>SUM(O7:O13)</f>
        <v>8048.32</v>
      </c>
      <c r="P14" s="207"/>
      <c r="Q14" s="306"/>
      <c r="R14" s="207"/>
      <c r="S14" s="207"/>
    </row>
    <row r="15" spans="1:19">
      <c r="A15" s="172"/>
      <c r="B15" s="197"/>
      <c r="C15" s="198"/>
      <c r="D15" s="198"/>
      <c r="E15" s="207"/>
      <c r="F15" s="207"/>
      <c r="G15" s="207"/>
      <c r="H15" s="202"/>
      <c r="I15" s="207"/>
      <c r="J15" s="198"/>
      <c r="K15" s="207"/>
      <c r="L15" s="207"/>
      <c r="M15" s="307"/>
      <c r="N15" s="207"/>
      <c r="O15" s="207"/>
      <c r="P15" s="207"/>
      <c r="Q15" s="306"/>
      <c r="R15" s="207"/>
      <c r="S15" s="207"/>
    </row>
    <row r="16" spans="1:19">
      <c r="A16" s="172"/>
      <c r="B16" s="197"/>
      <c r="C16" s="198"/>
      <c r="D16" s="198"/>
      <c r="E16" s="201"/>
      <c r="F16" s="201"/>
      <c r="G16" s="201"/>
      <c r="H16" s="202"/>
      <c r="I16" s="201"/>
      <c r="J16" s="198"/>
      <c r="K16" s="201"/>
      <c r="L16" s="201"/>
      <c r="M16" s="308"/>
      <c r="N16" s="201"/>
      <c r="O16" s="201"/>
      <c r="P16" s="201"/>
      <c r="Q16" s="304"/>
      <c r="R16" s="201"/>
      <c r="S16" s="201"/>
    </row>
    <row r="17" spans="1:19">
      <c r="A17" s="172"/>
      <c r="B17" s="193" t="s">
        <v>481</v>
      </c>
      <c r="C17" s="194"/>
      <c r="D17" s="194"/>
      <c r="E17" s="201"/>
      <c r="F17" s="201"/>
      <c r="G17" s="201"/>
      <c r="H17" s="202"/>
      <c r="I17" s="207"/>
      <c r="J17" s="194"/>
      <c r="K17" s="201"/>
      <c r="L17" s="201"/>
      <c r="M17" s="308"/>
      <c r="N17" s="201"/>
      <c r="O17" s="201"/>
      <c r="P17" s="201"/>
      <c r="Q17" s="304"/>
      <c r="R17" s="201"/>
      <c r="S17" s="201"/>
    </row>
    <row r="18" spans="1:19">
      <c r="A18" s="172"/>
      <c r="B18" s="197" t="s">
        <v>140</v>
      </c>
      <c r="C18" s="198">
        <v>3000</v>
      </c>
      <c r="D18" s="198"/>
      <c r="E18" s="201">
        <v>0</v>
      </c>
      <c r="F18" s="201"/>
      <c r="G18" s="198">
        <f t="shared" ref="G18:G29" si="3">M18-V18</f>
        <v>3064.16</v>
      </c>
      <c r="H18" s="202"/>
      <c r="I18" s="201">
        <f t="shared" ref="I18:I30" si="4">E18-G18</f>
        <v>-3064.16</v>
      </c>
      <c r="J18" s="198"/>
      <c r="K18" s="201">
        <v>3000</v>
      </c>
      <c r="L18" s="201"/>
      <c r="M18" s="303">
        <v>3064.16</v>
      </c>
      <c r="N18" s="201"/>
      <c r="O18" s="201">
        <f t="shared" ref="O18:O30" si="5">K18-M18</f>
        <v>-64.159999999999854</v>
      </c>
      <c r="P18" s="201"/>
      <c r="Q18" s="304"/>
      <c r="R18" s="201"/>
      <c r="S18" s="201"/>
    </row>
    <row r="19" spans="1:19">
      <c r="A19" s="172"/>
      <c r="B19" s="197" t="s">
        <v>137</v>
      </c>
      <c r="C19" s="198">
        <v>937.19</v>
      </c>
      <c r="D19" s="198"/>
      <c r="E19" s="201">
        <v>782.19</v>
      </c>
      <c r="F19" s="201"/>
      <c r="G19" s="198">
        <f t="shared" si="3"/>
        <v>972.34</v>
      </c>
      <c r="H19" s="202"/>
      <c r="I19" s="201">
        <f t="shared" si="4"/>
        <v>-190.14999999999998</v>
      </c>
      <c r="J19" s="198"/>
      <c r="K19" s="201">
        <v>782.19</v>
      </c>
      <c r="L19" s="201"/>
      <c r="M19" s="303">
        <v>972.34</v>
      </c>
      <c r="N19" s="201"/>
      <c r="O19" s="201">
        <f t="shared" si="5"/>
        <v>-190.14999999999998</v>
      </c>
      <c r="P19" s="201"/>
      <c r="Q19" s="304"/>
      <c r="R19" s="201"/>
      <c r="S19" s="201"/>
    </row>
    <row r="20" spans="1:19">
      <c r="A20" s="172"/>
      <c r="B20" s="197" t="s">
        <v>142</v>
      </c>
      <c r="C20" s="198">
        <v>3762.6</v>
      </c>
      <c r="D20" s="198"/>
      <c r="E20" s="201">
        <v>1300</v>
      </c>
      <c r="F20" s="201"/>
      <c r="G20" s="198">
        <f t="shared" si="3"/>
        <v>2357</v>
      </c>
      <c r="H20" s="202"/>
      <c r="I20" s="201">
        <f t="shared" si="4"/>
        <v>-1057</v>
      </c>
      <c r="J20" s="198"/>
      <c r="K20" s="201">
        <v>2632.6</v>
      </c>
      <c r="L20" s="201"/>
      <c r="M20" s="303">
        <v>2357</v>
      </c>
      <c r="N20" s="201"/>
      <c r="O20" s="201">
        <f t="shared" si="5"/>
        <v>275.59999999999991</v>
      </c>
      <c r="P20" s="201"/>
      <c r="Q20" s="304"/>
      <c r="R20" s="201"/>
      <c r="S20" s="201"/>
    </row>
    <row r="21" spans="1:19">
      <c r="A21" s="172"/>
      <c r="B21" s="197" t="s">
        <v>144</v>
      </c>
      <c r="C21" s="198">
        <v>750</v>
      </c>
      <c r="D21" s="198"/>
      <c r="E21" s="201">
        <v>400</v>
      </c>
      <c r="F21" s="201"/>
      <c r="G21" s="198">
        <f t="shared" si="3"/>
        <v>1018.3</v>
      </c>
      <c r="H21" s="202"/>
      <c r="I21" s="201">
        <f t="shared" si="4"/>
        <v>-618.29999999999995</v>
      </c>
      <c r="J21" s="198"/>
      <c r="K21" s="201">
        <v>750</v>
      </c>
      <c r="L21" s="201"/>
      <c r="M21" s="303">
        <v>1018.3</v>
      </c>
      <c r="N21" s="201"/>
      <c r="O21" s="201">
        <f t="shared" si="5"/>
        <v>-268.29999999999995</v>
      </c>
      <c r="P21" s="201"/>
      <c r="Q21" s="352" t="s">
        <v>632</v>
      </c>
      <c r="R21" s="353"/>
      <c r="S21" s="201"/>
    </row>
    <row r="22" spans="1:19">
      <c r="A22" s="172"/>
      <c r="B22" s="197" t="s">
        <v>482</v>
      </c>
      <c r="C22" s="198">
        <v>350</v>
      </c>
      <c r="D22" s="198"/>
      <c r="E22" s="201">
        <v>100</v>
      </c>
      <c r="F22" s="201"/>
      <c r="G22" s="198">
        <f t="shared" si="3"/>
        <v>415</v>
      </c>
      <c r="H22" s="202"/>
      <c r="I22" s="201">
        <f t="shared" si="4"/>
        <v>-315</v>
      </c>
      <c r="J22" s="198"/>
      <c r="K22" s="201">
        <v>350</v>
      </c>
      <c r="L22" s="201"/>
      <c r="M22" s="303">
        <v>415</v>
      </c>
      <c r="N22" s="201"/>
      <c r="O22" s="201">
        <f t="shared" si="5"/>
        <v>-65</v>
      </c>
      <c r="P22" s="201"/>
      <c r="Q22" s="304"/>
      <c r="R22" s="201"/>
      <c r="S22" s="201"/>
    </row>
    <row r="23" spans="1:19">
      <c r="A23" s="172"/>
      <c r="B23" s="197" t="s">
        <v>483</v>
      </c>
      <c r="C23" s="198">
        <v>6410</v>
      </c>
      <c r="D23" s="198"/>
      <c r="E23" s="201">
        <v>2060</v>
      </c>
      <c r="F23" s="201"/>
      <c r="G23" s="198">
        <f t="shared" si="3"/>
        <v>3954.2</v>
      </c>
      <c r="H23" s="202"/>
      <c r="I23" s="201">
        <f t="shared" si="4"/>
        <v>-1894.1999999999998</v>
      </c>
      <c r="J23" s="198"/>
      <c r="K23" s="201">
        <v>3770</v>
      </c>
      <c r="L23" s="201"/>
      <c r="M23" s="303">
        <v>3954.2</v>
      </c>
      <c r="N23" s="201"/>
      <c r="O23" s="201">
        <f t="shared" si="5"/>
        <v>-184.19999999999982</v>
      </c>
      <c r="P23" s="201"/>
      <c r="Q23" s="304"/>
      <c r="R23" s="201"/>
      <c r="S23" s="201"/>
    </row>
    <row r="24" spans="1:19">
      <c r="A24" s="172"/>
      <c r="B24" s="197" t="s">
        <v>141</v>
      </c>
      <c r="C24" s="198">
        <v>300</v>
      </c>
      <c r="D24" s="198"/>
      <c r="E24" s="201">
        <v>50</v>
      </c>
      <c r="F24" s="201"/>
      <c r="G24" s="198">
        <f t="shared" si="3"/>
        <v>105</v>
      </c>
      <c r="H24" s="202"/>
      <c r="I24" s="201">
        <f t="shared" si="4"/>
        <v>-55</v>
      </c>
      <c r="J24" s="198"/>
      <c r="K24" s="201">
        <v>200</v>
      </c>
      <c r="L24" s="201"/>
      <c r="M24" s="303">
        <v>105</v>
      </c>
      <c r="N24" s="201"/>
      <c r="O24" s="201">
        <f t="shared" si="5"/>
        <v>95</v>
      </c>
      <c r="P24" s="201"/>
      <c r="Q24" s="304"/>
      <c r="R24" s="201"/>
      <c r="S24" s="201"/>
    </row>
    <row r="25" spans="1:19">
      <c r="A25" s="172"/>
      <c r="B25" s="197" t="s">
        <v>148</v>
      </c>
      <c r="C25" s="198">
        <v>100</v>
      </c>
      <c r="D25" s="198"/>
      <c r="E25" s="201">
        <v>25</v>
      </c>
      <c r="F25" s="201"/>
      <c r="G25" s="198">
        <f t="shared" si="3"/>
        <v>82.84</v>
      </c>
      <c r="H25" s="202"/>
      <c r="I25" s="201">
        <f t="shared" si="4"/>
        <v>-57.84</v>
      </c>
      <c r="J25" s="198"/>
      <c r="K25" s="201">
        <v>75</v>
      </c>
      <c r="L25" s="201"/>
      <c r="M25" s="303">
        <v>82.84</v>
      </c>
      <c r="N25" s="201"/>
      <c r="O25" s="201">
        <f t="shared" si="5"/>
        <v>-7.8400000000000034</v>
      </c>
      <c r="P25" s="201"/>
      <c r="Q25" s="304"/>
      <c r="R25" s="201"/>
      <c r="S25" s="201"/>
    </row>
    <row r="26" spans="1:19">
      <c r="A26" s="172"/>
      <c r="B26" s="197" t="s">
        <v>149</v>
      </c>
      <c r="C26" s="198">
        <v>0</v>
      </c>
      <c r="D26" s="198"/>
      <c r="E26" s="201">
        <v>0</v>
      </c>
      <c r="F26" s="201"/>
      <c r="G26" s="198">
        <f t="shared" si="3"/>
        <v>0</v>
      </c>
      <c r="H26" s="202"/>
      <c r="I26" s="201">
        <f t="shared" si="4"/>
        <v>0</v>
      </c>
      <c r="J26" s="198"/>
      <c r="K26" s="201">
        <v>0</v>
      </c>
      <c r="L26" s="201"/>
      <c r="M26" s="303">
        <v>0</v>
      </c>
      <c r="N26" s="201"/>
      <c r="O26" s="201">
        <f t="shared" si="5"/>
        <v>0</v>
      </c>
      <c r="P26" s="201"/>
      <c r="Q26" s="304"/>
      <c r="R26" s="201"/>
      <c r="S26" s="201"/>
    </row>
    <row r="27" spans="1:19">
      <c r="A27" s="172"/>
      <c r="B27" s="197" t="s">
        <v>145</v>
      </c>
      <c r="C27" s="198">
        <v>0</v>
      </c>
      <c r="D27" s="198"/>
      <c r="E27" s="201">
        <v>0</v>
      </c>
      <c r="F27" s="201"/>
      <c r="G27" s="198">
        <f t="shared" si="3"/>
        <v>222.04</v>
      </c>
      <c r="H27" s="202"/>
      <c r="I27" s="201">
        <f t="shared" si="4"/>
        <v>-222.04</v>
      </c>
      <c r="J27" s="198"/>
      <c r="K27" s="201">
        <v>0</v>
      </c>
      <c r="L27" s="201"/>
      <c r="M27" s="303">
        <v>222.04</v>
      </c>
      <c r="N27" s="201"/>
      <c r="O27" s="201">
        <f t="shared" si="5"/>
        <v>-222.04</v>
      </c>
      <c r="P27" s="201"/>
      <c r="Q27" s="352" t="s">
        <v>633</v>
      </c>
      <c r="R27" s="353"/>
      <c r="S27" s="201"/>
    </row>
    <row r="28" spans="1:19">
      <c r="A28" s="172"/>
      <c r="B28" s="197" t="s">
        <v>143</v>
      </c>
      <c r="C28" s="198">
        <v>3100</v>
      </c>
      <c r="D28" s="198"/>
      <c r="E28" s="201">
        <v>700</v>
      </c>
      <c r="F28" s="201"/>
      <c r="G28" s="198">
        <f t="shared" si="3"/>
        <v>4687.41</v>
      </c>
      <c r="H28" s="202"/>
      <c r="I28" s="201">
        <f t="shared" si="4"/>
        <v>-3987.41</v>
      </c>
      <c r="J28" s="198"/>
      <c r="K28" s="201">
        <v>2400</v>
      </c>
      <c r="L28" s="201"/>
      <c r="M28" s="303">
        <v>4687.41</v>
      </c>
      <c r="N28" s="201"/>
      <c r="O28" s="201">
        <f t="shared" si="5"/>
        <v>-2287.41</v>
      </c>
      <c r="P28" s="201"/>
      <c r="Q28" s="352" t="s">
        <v>634</v>
      </c>
      <c r="R28" s="353"/>
      <c r="S28" s="201"/>
    </row>
    <row r="29" spans="1:19">
      <c r="A29" s="172"/>
      <c r="B29" s="197" t="s">
        <v>555</v>
      </c>
      <c r="C29" s="198">
        <v>570</v>
      </c>
      <c r="D29" s="198"/>
      <c r="E29" s="201">
        <v>0</v>
      </c>
      <c r="F29" s="201"/>
      <c r="G29" s="198">
        <f t="shared" si="3"/>
        <v>724.48</v>
      </c>
      <c r="H29" s="202"/>
      <c r="I29" s="201">
        <f t="shared" si="4"/>
        <v>-724.48</v>
      </c>
      <c r="J29" s="198"/>
      <c r="K29" s="201">
        <v>570</v>
      </c>
      <c r="L29" s="201"/>
      <c r="M29" s="303">
        <v>724.48</v>
      </c>
      <c r="N29" s="201"/>
      <c r="O29" s="201">
        <f t="shared" si="5"/>
        <v>-154.48000000000002</v>
      </c>
      <c r="P29" s="201"/>
      <c r="Q29" s="304"/>
      <c r="R29" s="201"/>
      <c r="S29" s="201"/>
    </row>
    <row r="30" spans="1:19">
      <c r="A30" s="172"/>
      <c r="B30" s="197" t="s">
        <v>564</v>
      </c>
      <c r="C30" s="198">
        <v>0</v>
      </c>
      <c r="D30" s="198"/>
      <c r="E30" s="201">
        <v>0</v>
      </c>
      <c r="F30" s="201"/>
      <c r="G30" s="198">
        <v>330</v>
      </c>
      <c r="H30" s="202"/>
      <c r="I30" s="201">
        <f t="shared" si="4"/>
        <v>-330</v>
      </c>
      <c r="J30" s="198"/>
      <c r="K30" s="201">
        <v>0</v>
      </c>
      <c r="L30" s="201"/>
      <c r="M30" s="303">
        <v>330</v>
      </c>
      <c r="N30" s="201"/>
      <c r="O30" s="201">
        <f t="shared" si="5"/>
        <v>-330</v>
      </c>
      <c r="P30" s="201"/>
      <c r="Q30" s="352" t="s">
        <v>635</v>
      </c>
      <c r="R30" s="354"/>
      <c r="S30" s="201"/>
    </row>
    <row r="31" spans="1:19">
      <c r="A31" s="172"/>
      <c r="B31" s="193" t="s">
        <v>13</v>
      </c>
      <c r="C31" s="207">
        <f>SUM(C18:C30)</f>
        <v>19279.79</v>
      </c>
      <c r="D31" s="194"/>
      <c r="E31" s="207">
        <f>SUM(E18:E30)</f>
        <v>5417.1900000000005</v>
      </c>
      <c r="F31" s="207"/>
      <c r="G31" s="207">
        <f>SUM(G18:G30)</f>
        <v>17932.77</v>
      </c>
      <c r="H31" s="202"/>
      <c r="I31" s="207">
        <f>SUM(I18:I30)</f>
        <v>-12515.579999999998</v>
      </c>
      <c r="J31" s="194"/>
      <c r="K31" s="207">
        <f>SUM(K18:K30)</f>
        <v>14529.79</v>
      </c>
      <c r="L31" s="207"/>
      <c r="M31" s="207">
        <f>SUM(M18:M30)</f>
        <v>17932.77</v>
      </c>
      <c r="N31" s="207"/>
      <c r="O31" s="207">
        <f>SUM(O18:O30)</f>
        <v>-3402.9799999999996</v>
      </c>
      <c r="P31" s="207"/>
      <c r="Q31" s="207"/>
      <c r="R31" s="207"/>
      <c r="S31" s="207"/>
    </row>
    <row r="32" spans="1:19">
      <c r="A32" s="172"/>
      <c r="B32" s="197"/>
      <c r="C32" s="198"/>
      <c r="D32" s="198"/>
      <c r="E32" s="201"/>
      <c r="F32" s="201"/>
      <c r="G32" s="201"/>
      <c r="H32" s="202"/>
      <c r="I32" s="201"/>
      <c r="J32" s="198"/>
      <c r="K32" s="201"/>
      <c r="L32" s="201"/>
      <c r="M32" s="201"/>
      <c r="N32" s="201"/>
      <c r="O32" s="201"/>
      <c r="P32" s="201"/>
      <c r="Q32" s="201"/>
      <c r="R32" s="201"/>
      <c r="S32" s="201"/>
    </row>
    <row r="33" spans="1:19" ht="13.5" thickBot="1">
      <c r="A33" s="172"/>
      <c r="B33" s="209" t="s">
        <v>484</v>
      </c>
      <c r="C33" s="211">
        <f>C14-C31</f>
        <v>-8129.7900000000009</v>
      </c>
      <c r="D33" s="210"/>
      <c r="E33" s="211">
        <f>E14-E31</f>
        <v>-3697.1900000000005</v>
      </c>
      <c r="F33" s="211"/>
      <c r="G33" s="211">
        <f>G14-G31</f>
        <v>-214.45000000000073</v>
      </c>
      <c r="H33" s="212"/>
      <c r="I33" s="213">
        <f>I31+I14</f>
        <v>3482.7400000000016</v>
      </c>
      <c r="J33" s="210"/>
      <c r="K33" s="211">
        <f>K14-K31</f>
        <v>-4859.7900000000009</v>
      </c>
      <c r="L33" s="211"/>
      <c r="M33" s="211">
        <f>M14-M31</f>
        <v>-214.45000000000073</v>
      </c>
      <c r="N33" s="211"/>
      <c r="O33" s="211">
        <f>O31+O14</f>
        <v>4645.34</v>
      </c>
      <c r="P33" s="211"/>
      <c r="Q33" s="357" t="s">
        <v>636</v>
      </c>
      <c r="R33" s="357"/>
      <c r="S33" s="211"/>
    </row>
    <row r="34" spans="1:19" ht="13.5" thickBot="1">
      <c r="A34" s="172"/>
      <c r="B34" s="181" t="s">
        <v>485</v>
      </c>
      <c r="C34" s="182"/>
      <c r="D34" s="182"/>
      <c r="E34" s="183"/>
      <c r="F34" s="183"/>
      <c r="G34" s="184">
        <f>G4+G33</f>
        <v>614.1399999999993</v>
      </c>
      <c r="H34" s="185"/>
      <c r="I34" s="215"/>
      <c r="J34" s="185"/>
      <c r="K34" s="216"/>
      <c r="L34" s="172"/>
      <c r="M34" s="172"/>
      <c r="N34" s="172"/>
      <c r="O34" s="172"/>
      <c r="P34" s="172"/>
      <c r="Q34" s="172"/>
      <c r="R34" s="172"/>
      <c r="S34" s="172"/>
    </row>
    <row r="35" spans="1:19" ht="13.5" thickBot="1">
      <c r="A35" s="172"/>
      <c r="B35" s="202"/>
      <c r="C35" s="202"/>
      <c r="D35" s="202"/>
      <c r="E35" s="201"/>
      <c r="F35" s="201"/>
      <c r="G35" s="207"/>
      <c r="H35" s="217"/>
      <c r="I35" s="218"/>
      <c r="J35" s="217"/>
      <c r="K35" s="219"/>
      <c r="L35" s="172"/>
      <c r="M35" s="172"/>
      <c r="N35" s="172"/>
      <c r="O35" s="172"/>
      <c r="P35" s="172"/>
      <c r="Q35" s="172"/>
      <c r="R35" s="172"/>
      <c r="S35" s="172"/>
    </row>
    <row r="36" spans="1:19">
      <c r="A36" s="172"/>
      <c r="B36" s="220" t="s">
        <v>486</v>
      </c>
      <c r="C36" s="191"/>
      <c r="D36" s="191"/>
      <c r="E36" s="221"/>
      <c r="F36" s="221"/>
      <c r="G36" s="190"/>
      <c r="H36" s="222"/>
      <c r="I36" s="190"/>
      <c r="J36" s="222"/>
      <c r="K36" s="309"/>
      <c r="L36" s="310"/>
      <c r="M36" s="311"/>
      <c r="N36" s="172"/>
      <c r="O36" s="172"/>
      <c r="P36" s="172"/>
      <c r="Q36" s="172"/>
      <c r="R36" s="172"/>
      <c r="S36" s="172"/>
    </row>
    <row r="37" spans="1:19">
      <c r="A37" s="172"/>
      <c r="B37" s="223"/>
      <c r="C37" s="202"/>
      <c r="D37" s="202"/>
      <c r="E37" s="201"/>
      <c r="F37" s="201"/>
      <c r="G37" s="207" t="s">
        <v>487</v>
      </c>
      <c r="H37" s="202"/>
      <c r="I37" s="224" t="s">
        <v>488</v>
      </c>
      <c r="J37" s="202"/>
      <c r="K37" s="204"/>
      <c r="L37" s="312"/>
      <c r="M37" s="313"/>
      <c r="N37" s="172"/>
      <c r="O37" s="172"/>
      <c r="P37" s="172"/>
      <c r="Q37" s="172"/>
      <c r="R37" s="172"/>
      <c r="S37" s="172"/>
    </row>
    <row r="38" spans="1:19">
      <c r="A38" s="172"/>
      <c r="B38" s="225" t="s">
        <v>489</v>
      </c>
      <c r="C38" s="226"/>
      <c r="D38" s="226"/>
      <c r="E38" s="201"/>
      <c r="F38" s="201"/>
      <c r="G38" s="207">
        <f>SUM(G39:G43)</f>
        <v>2814.4300000000003</v>
      </c>
      <c r="H38" s="202"/>
      <c r="I38" s="202"/>
      <c r="J38" s="202"/>
      <c r="K38" s="204"/>
      <c r="L38" s="312"/>
      <c r="M38" s="313"/>
      <c r="N38" s="172"/>
      <c r="O38" s="172"/>
      <c r="P38" s="172"/>
      <c r="Q38" s="172"/>
      <c r="R38" s="172"/>
      <c r="S38" s="172"/>
    </row>
    <row r="39" spans="1:19">
      <c r="A39" s="172"/>
      <c r="B39" s="227" t="s">
        <v>509</v>
      </c>
      <c r="C39" s="228"/>
      <c r="D39" s="228"/>
      <c r="E39" s="201"/>
      <c r="F39" s="201"/>
      <c r="G39" s="201">
        <v>223.68</v>
      </c>
      <c r="H39" s="202"/>
      <c r="I39" s="229" t="s">
        <v>637</v>
      </c>
      <c r="J39" s="202"/>
      <c r="K39" s="204"/>
      <c r="L39" s="312"/>
      <c r="M39" s="313"/>
      <c r="N39" s="172"/>
      <c r="O39" s="172"/>
      <c r="P39" s="172"/>
      <c r="Q39" s="172"/>
      <c r="R39" s="172"/>
      <c r="S39" s="172"/>
    </row>
    <row r="40" spans="1:19">
      <c r="A40" s="172"/>
      <c r="B40" s="227" t="s">
        <v>510</v>
      </c>
      <c r="C40" s="228"/>
      <c r="D40" s="228"/>
      <c r="E40" s="201"/>
      <c r="F40" s="201"/>
      <c r="G40" s="201">
        <f>260+(13.25*7)</f>
        <v>352.75</v>
      </c>
      <c r="H40" s="202"/>
      <c r="I40" s="229" t="s">
        <v>637</v>
      </c>
      <c r="J40" s="202"/>
      <c r="K40" s="204"/>
      <c r="L40" s="312"/>
      <c r="M40" s="313"/>
      <c r="N40" s="172"/>
      <c r="O40" s="172"/>
      <c r="P40" s="172"/>
      <c r="Q40" s="172"/>
      <c r="R40" s="172"/>
      <c r="S40" s="172"/>
    </row>
    <row r="41" spans="1:19">
      <c r="A41" s="172"/>
      <c r="B41" s="227" t="s">
        <v>138</v>
      </c>
      <c r="C41" s="228"/>
      <c r="D41" s="228"/>
      <c r="E41" s="201"/>
      <c r="F41" s="201"/>
      <c r="G41" s="201">
        <v>1198</v>
      </c>
      <c r="H41" s="202"/>
      <c r="I41" s="229" t="s">
        <v>638</v>
      </c>
      <c r="J41" s="202"/>
      <c r="K41" s="204"/>
      <c r="L41" s="312"/>
      <c r="M41" s="313"/>
      <c r="N41" s="172"/>
      <c r="O41" s="172"/>
      <c r="P41" s="172"/>
      <c r="Q41" s="172"/>
      <c r="R41" s="172"/>
      <c r="S41" s="172"/>
    </row>
    <row r="42" spans="1:19">
      <c r="A42" s="172"/>
      <c r="B42" s="227" t="s">
        <v>207</v>
      </c>
      <c r="C42" s="228"/>
      <c r="D42" s="228"/>
      <c r="E42" s="201"/>
      <c r="F42" s="201"/>
      <c r="G42" s="201">
        <v>0</v>
      </c>
      <c r="H42" s="202"/>
      <c r="I42" s="229"/>
      <c r="J42" s="202"/>
      <c r="K42" s="204"/>
      <c r="L42" s="312"/>
      <c r="M42" s="313"/>
      <c r="N42" s="172"/>
      <c r="O42" s="172"/>
      <c r="P42" s="172"/>
      <c r="Q42" s="172"/>
      <c r="R42" s="172"/>
      <c r="S42" s="172"/>
    </row>
    <row r="43" spans="1:19">
      <c r="A43" s="172"/>
      <c r="B43" s="227" t="s">
        <v>639</v>
      </c>
      <c r="C43" s="228"/>
      <c r="D43" s="228"/>
      <c r="E43" s="201"/>
      <c r="F43" s="201"/>
      <c r="G43" s="201">
        <v>1040</v>
      </c>
      <c r="H43" s="202"/>
      <c r="I43" s="229" t="s">
        <v>637</v>
      </c>
      <c r="J43" s="202"/>
      <c r="K43" s="204"/>
      <c r="L43" s="312"/>
      <c r="M43" s="313"/>
      <c r="N43" s="172"/>
      <c r="O43" s="172"/>
      <c r="P43" s="172"/>
      <c r="Q43" s="172"/>
      <c r="R43" s="172"/>
      <c r="S43" s="172"/>
    </row>
    <row r="44" spans="1:19">
      <c r="A44" s="172"/>
      <c r="B44" s="227"/>
      <c r="C44" s="228"/>
      <c r="D44" s="228"/>
      <c r="E44" s="201"/>
      <c r="F44" s="201"/>
      <c r="G44" s="201"/>
      <c r="H44" s="202"/>
      <c r="I44" s="229"/>
      <c r="J44" s="202"/>
      <c r="K44" s="204"/>
      <c r="L44" s="312"/>
      <c r="M44" s="313"/>
      <c r="N44" s="172"/>
      <c r="O44" s="172"/>
      <c r="P44" s="172"/>
      <c r="Q44" s="172"/>
      <c r="R44" s="172"/>
      <c r="S44" s="172"/>
    </row>
    <row r="45" spans="1:19">
      <c r="A45" s="172"/>
      <c r="B45" s="225" t="s">
        <v>490</v>
      </c>
      <c r="C45" s="226"/>
      <c r="D45" s="226"/>
      <c r="E45" s="201"/>
      <c r="F45" s="201"/>
      <c r="G45" s="207">
        <f>SUM(G46:G48)</f>
        <v>0</v>
      </c>
      <c r="H45" s="202"/>
      <c r="I45" s="201"/>
      <c r="J45" s="202"/>
      <c r="K45" s="204"/>
      <c r="L45" s="312"/>
      <c r="M45" s="313"/>
      <c r="N45" s="172"/>
      <c r="O45" s="172"/>
      <c r="P45" s="172"/>
      <c r="Q45" s="172"/>
      <c r="R45" s="172"/>
      <c r="S45" s="172"/>
    </row>
    <row r="46" spans="1:19">
      <c r="A46" s="172"/>
      <c r="B46" s="227" t="s">
        <v>491</v>
      </c>
      <c r="C46" s="228"/>
      <c r="D46" s="228"/>
      <c r="E46" s="201"/>
      <c r="F46" s="201"/>
      <c r="G46" s="201">
        <v>0</v>
      </c>
      <c r="H46" s="202"/>
      <c r="I46" s="201"/>
      <c r="J46" s="202"/>
      <c r="K46" s="204"/>
      <c r="L46" s="312"/>
      <c r="M46" s="313"/>
      <c r="N46" s="172"/>
      <c r="O46" s="172"/>
      <c r="P46" s="172"/>
      <c r="Q46" s="172"/>
      <c r="R46" s="172"/>
      <c r="S46" s="172"/>
    </row>
    <row r="47" spans="1:19">
      <c r="A47" s="172"/>
      <c r="B47" s="227" t="s">
        <v>492</v>
      </c>
      <c r="C47" s="228"/>
      <c r="D47" s="228"/>
      <c r="E47" s="201"/>
      <c r="F47" s="201"/>
      <c r="G47" s="201">
        <v>0</v>
      </c>
      <c r="H47" s="202"/>
      <c r="I47" s="201"/>
      <c r="J47" s="202"/>
      <c r="K47" s="204"/>
      <c r="L47" s="312"/>
      <c r="M47" s="313"/>
      <c r="N47" s="172"/>
      <c r="O47" s="172"/>
      <c r="P47" s="172"/>
      <c r="Q47" s="172"/>
      <c r="R47" s="172"/>
      <c r="S47" s="172"/>
    </row>
    <row r="48" spans="1:19">
      <c r="A48" s="172"/>
      <c r="B48" s="227" t="s">
        <v>493</v>
      </c>
      <c r="C48" s="228"/>
      <c r="D48" s="228"/>
      <c r="E48" s="201"/>
      <c r="F48" s="201"/>
      <c r="G48" s="201">
        <v>0</v>
      </c>
      <c r="H48" s="202"/>
      <c r="I48" s="201"/>
      <c r="J48" s="202"/>
      <c r="K48" s="204"/>
      <c r="L48" s="312"/>
      <c r="M48" s="313"/>
      <c r="N48" s="172"/>
      <c r="O48" s="172"/>
      <c r="P48" s="172"/>
      <c r="Q48" s="172"/>
      <c r="R48" s="172"/>
      <c r="S48" s="172"/>
    </row>
    <row r="49" spans="1:19">
      <c r="A49" s="172"/>
      <c r="B49" s="223"/>
      <c r="C49" s="202"/>
      <c r="D49" s="202"/>
      <c r="E49" s="201"/>
      <c r="F49" s="201"/>
      <c r="G49" s="201"/>
      <c r="H49" s="202"/>
      <c r="I49" s="201"/>
      <c r="J49" s="202"/>
      <c r="K49" s="204"/>
      <c r="L49" s="312"/>
      <c r="M49" s="313"/>
      <c r="N49" s="172"/>
      <c r="O49" s="172"/>
      <c r="P49" s="172"/>
      <c r="Q49" s="172"/>
      <c r="R49" s="172"/>
      <c r="S49" s="172"/>
    </row>
    <row r="50" spans="1:19" ht="13.5" thickBot="1">
      <c r="A50" s="172"/>
      <c r="B50" s="230" t="s">
        <v>494</v>
      </c>
      <c r="C50" s="231"/>
      <c r="D50" s="231"/>
      <c r="E50" s="213"/>
      <c r="F50" s="213"/>
      <c r="G50" s="213">
        <f>G33+G38-G45</f>
        <v>2599.9799999999996</v>
      </c>
      <c r="H50" s="212"/>
      <c r="I50" s="211"/>
      <c r="J50" s="212"/>
      <c r="K50" s="314"/>
      <c r="L50" s="315"/>
      <c r="M50" s="316"/>
      <c r="N50" s="172"/>
      <c r="O50" s="172"/>
      <c r="P50" s="172"/>
      <c r="Q50" s="172"/>
      <c r="R50" s="172"/>
      <c r="S50" s="172"/>
    </row>
    <row r="51" spans="1:19">
      <c r="A51" s="172"/>
      <c r="B51" s="195"/>
      <c r="C51" s="195"/>
      <c r="D51" s="195"/>
      <c r="E51" s="207"/>
      <c r="F51" s="207"/>
      <c r="G51" s="207"/>
      <c r="H51" s="202"/>
      <c r="I51" s="201"/>
      <c r="J51" s="202"/>
      <c r="K51" s="204"/>
      <c r="L51" s="172"/>
      <c r="M51" s="172"/>
      <c r="N51" s="172"/>
      <c r="O51" s="172"/>
      <c r="P51" s="172"/>
      <c r="Q51" s="172"/>
      <c r="R51" s="172"/>
      <c r="S51" s="172"/>
    </row>
    <row r="52" spans="1:19" ht="13.5" thickBot="1">
      <c r="A52" s="172"/>
      <c r="B52" s="217"/>
      <c r="C52" s="217"/>
      <c r="D52" s="217"/>
      <c r="E52" s="232"/>
      <c r="F52" s="232"/>
      <c r="G52" s="232"/>
      <c r="H52" s="217"/>
      <c r="I52" s="232"/>
      <c r="J52" s="217"/>
      <c r="K52" s="233"/>
      <c r="L52" s="172"/>
      <c r="M52" s="172"/>
      <c r="N52" s="172"/>
      <c r="O52" s="172"/>
      <c r="P52" s="172"/>
      <c r="Q52" s="172"/>
      <c r="R52" s="172"/>
      <c r="S52" s="172"/>
    </row>
    <row r="53" spans="1:19" ht="13.5" thickBot="1">
      <c r="A53" s="172"/>
      <c r="B53" s="234" t="s">
        <v>495</v>
      </c>
      <c r="C53" s="235"/>
      <c r="D53" s="235"/>
      <c r="E53" s="236"/>
      <c r="F53" s="236"/>
      <c r="G53" s="237">
        <f>G34+G38-G45</f>
        <v>3428.5699999999997</v>
      </c>
      <c r="H53" s="217"/>
      <c r="I53" s="232"/>
      <c r="J53" s="217"/>
      <c r="K53" s="233"/>
      <c r="L53" s="172"/>
      <c r="M53" s="172"/>
      <c r="N53" s="172"/>
      <c r="O53" s="172"/>
      <c r="P53" s="172"/>
      <c r="Q53" s="172"/>
      <c r="R53" s="172"/>
      <c r="S53" s="172"/>
    </row>
    <row r="55" spans="1:19">
      <c r="A55" s="238"/>
      <c r="B55" s="238"/>
      <c r="C55" s="239"/>
      <c r="D55" s="239"/>
      <c r="E55" s="239"/>
      <c r="F55" s="239"/>
      <c r="G55" s="239"/>
      <c r="H55" s="238"/>
      <c r="I55" s="239"/>
      <c r="J55" s="239"/>
      <c r="K55" s="239"/>
      <c r="L55" s="239"/>
      <c r="M55" s="239"/>
      <c r="N55" s="239"/>
      <c r="O55" s="239"/>
      <c r="P55" s="238"/>
      <c r="Q55" s="240"/>
      <c r="R55" s="238"/>
    </row>
    <row r="56" spans="1:19" ht="15">
      <c r="A56" s="241"/>
      <c r="B56" s="144" t="s">
        <v>594</v>
      </c>
      <c r="C56" s="146" t="s">
        <v>511</v>
      </c>
      <c r="D56" s="349" t="s">
        <v>640</v>
      </c>
      <c r="E56" s="350"/>
      <c r="F56" s="350"/>
      <c r="G56" s="350"/>
      <c r="H56" s="350"/>
      <c r="I56" s="350"/>
      <c r="J56" s="350"/>
      <c r="K56" s="350"/>
      <c r="L56" s="350"/>
      <c r="M56" s="350"/>
      <c r="N56" s="350"/>
      <c r="O56" s="350"/>
      <c r="P56" s="351"/>
      <c r="Q56" s="351"/>
      <c r="R56" s="242"/>
    </row>
    <row r="57" spans="1:19" ht="13.5" thickBot="1">
      <c r="A57" s="238"/>
      <c r="B57" s="238"/>
      <c r="C57" s="239"/>
      <c r="D57" s="239"/>
      <c r="E57" s="239"/>
      <c r="F57" s="239"/>
      <c r="G57" s="239"/>
      <c r="H57" s="238"/>
      <c r="I57" s="239"/>
      <c r="J57" s="239"/>
      <c r="K57" s="239"/>
      <c r="L57" s="239"/>
      <c r="M57" s="239"/>
      <c r="N57" s="239"/>
      <c r="O57" s="239"/>
      <c r="P57" s="238"/>
      <c r="Q57" s="240"/>
      <c r="R57" s="238"/>
    </row>
    <row r="58" spans="1:19" ht="13.5" thickBot="1">
      <c r="A58" s="243"/>
      <c r="B58" s="244" t="s">
        <v>474</v>
      </c>
      <c r="C58" s="245"/>
      <c r="D58" s="245"/>
      <c r="E58" s="246">
        <v>41658.080000000002</v>
      </c>
      <c r="F58" s="272"/>
      <c r="G58" s="272"/>
      <c r="H58" s="247"/>
      <c r="I58" s="248"/>
      <c r="J58" s="248"/>
      <c r="K58" s="248"/>
      <c r="L58" s="248"/>
      <c r="M58" s="248"/>
      <c r="N58" s="248"/>
      <c r="O58" s="248"/>
      <c r="P58" s="248"/>
      <c r="Q58" s="249"/>
      <c r="R58" s="243"/>
    </row>
    <row r="59" spans="1:19">
      <c r="A59" s="238"/>
      <c r="B59" s="252"/>
      <c r="C59" s="253" t="s">
        <v>496</v>
      </c>
      <c r="D59" s="253"/>
      <c r="E59" s="253" t="s">
        <v>623</v>
      </c>
      <c r="F59" s="253"/>
      <c r="G59" s="253" t="s">
        <v>624</v>
      </c>
      <c r="H59" s="254"/>
      <c r="I59" s="253" t="s">
        <v>625</v>
      </c>
      <c r="J59" s="253"/>
      <c r="K59" s="253" t="s">
        <v>626</v>
      </c>
      <c r="L59" s="253"/>
      <c r="M59" s="253" t="s">
        <v>627</v>
      </c>
      <c r="N59" s="253"/>
      <c r="O59" s="253" t="s">
        <v>628</v>
      </c>
      <c r="P59" s="254"/>
      <c r="Q59" s="255" t="s">
        <v>158</v>
      </c>
      <c r="R59" s="238"/>
    </row>
    <row r="60" spans="1:19">
      <c r="A60" s="238"/>
      <c r="B60" s="259" t="s">
        <v>477</v>
      </c>
      <c r="C60" s="260"/>
      <c r="D60" s="260"/>
      <c r="E60" s="260"/>
      <c r="F60" s="260"/>
      <c r="G60" s="260"/>
      <c r="H60" s="258"/>
      <c r="I60" s="260"/>
      <c r="J60" s="260"/>
      <c r="K60" s="260"/>
      <c r="L60" s="260"/>
      <c r="M60" s="260"/>
      <c r="N60" s="260"/>
      <c r="O60" s="260"/>
      <c r="P60" s="258"/>
      <c r="Q60" s="261"/>
      <c r="R60" s="238"/>
    </row>
    <row r="61" spans="1:19">
      <c r="A61" s="238"/>
      <c r="B61" s="263" t="s">
        <v>480</v>
      </c>
      <c r="C61" s="260">
        <v>4250</v>
      </c>
      <c r="D61" s="260"/>
      <c r="E61" s="317">
        <v>0</v>
      </c>
      <c r="F61" s="260"/>
      <c r="G61" s="317">
        <v>0</v>
      </c>
      <c r="H61" s="258"/>
      <c r="I61" s="260">
        <f>G61-E61</f>
        <v>0</v>
      </c>
      <c r="J61" s="260"/>
      <c r="K61" s="317">
        <v>4250</v>
      </c>
      <c r="L61" s="260"/>
      <c r="M61" s="317">
        <v>4250</v>
      </c>
      <c r="N61" s="260"/>
      <c r="O61" s="260">
        <f>M61-K61</f>
        <v>0</v>
      </c>
      <c r="P61" s="258"/>
      <c r="Q61" s="261"/>
      <c r="R61" s="238"/>
    </row>
    <row r="62" spans="1:19">
      <c r="A62" s="238"/>
      <c r="B62" s="263" t="s">
        <v>597</v>
      </c>
      <c r="C62" s="260">
        <v>3000</v>
      </c>
      <c r="D62" s="260"/>
      <c r="E62" s="317">
        <v>3000</v>
      </c>
      <c r="F62" s="260"/>
      <c r="G62" s="317">
        <v>3000</v>
      </c>
      <c r="H62" s="258"/>
      <c r="I62" s="260">
        <f>G62-E62</f>
        <v>0</v>
      </c>
      <c r="J62" s="260"/>
      <c r="K62" s="317">
        <v>3000</v>
      </c>
      <c r="L62" s="260"/>
      <c r="M62" s="317">
        <v>3000</v>
      </c>
      <c r="N62" s="260"/>
      <c r="O62" s="260">
        <f>M62-K62</f>
        <v>0</v>
      </c>
      <c r="P62" s="258"/>
      <c r="Q62" s="261"/>
      <c r="R62" s="238"/>
    </row>
    <row r="63" spans="1:19">
      <c r="A63" s="238"/>
      <c r="B63" s="263" t="s">
        <v>599</v>
      </c>
      <c r="C63" s="260"/>
      <c r="D63" s="260"/>
      <c r="E63" s="317"/>
      <c r="F63" s="260"/>
      <c r="G63" s="317"/>
      <c r="H63" s="258"/>
      <c r="I63" s="260">
        <f>G63-E63</f>
        <v>0</v>
      </c>
      <c r="J63" s="260"/>
      <c r="K63" s="317">
        <v>0</v>
      </c>
      <c r="L63" s="260"/>
      <c r="M63" s="317">
        <v>0</v>
      </c>
      <c r="N63" s="260"/>
      <c r="O63" s="260">
        <f>M63-K63</f>
        <v>0</v>
      </c>
      <c r="P63" s="258"/>
      <c r="Q63" s="261"/>
      <c r="R63" s="238"/>
    </row>
    <row r="64" spans="1:19" ht="51">
      <c r="A64" s="238"/>
      <c r="B64" s="263" t="s">
        <v>600</v>
      </c>
      <c r="C64" s="260">
        <v>12000</v>
      </c>
      <c r="D64" s="256"/>
      <c r="E64" s="317">
        <v>4000</v>
      </c>
      <c r="F64" s="266"/>
      <c r="G64" s="317">
        <v>2671.52</v>
      </c>
      <c r="H64" s="258"/>
      <c r="I64" s="260">
        <f>G64-E64</f>
        <v>-1328.48</v>
      </c>
      <c r="J64" s="260"/>
      <c r="K64" s="317">
        <f>8000</f>
        <v>8000</v>
      </c>
      <c r="L64" s="260"/>
      <c r="M64" s="317">
        <v>7544.57</v>
      </c>
      <c r="N64" s="260"/>
      <c r="O64" s="260">
        <f>M64-K64</f>
        <v>-455.43000000000029</v>
      </c>
      <c r="P64" s="258"/>
      <c r="Q64" s="318" t="s">
        <v>641</v>
      </c>
      <c r="R64" s="238"/>
    </row>
    <row r="65" spans="1:18">
      <c r="A65" s="238"/>
      <c r="B65" s="259" t="s">
        <v>13</v>
      </c>
      <c r="C65" s="256">
        <f>SUM(C61:C64)</f>
        <v>19250</v>
      </c>
      <c r="D65" s="256"/>
      <c r="E65" s="319">
        <f>SUM(E61:E64)</f>
        <v>7000</v>
      </c>
      <c r="F65" s="256"/>
      <c r="G65" s="319">
        <f>SUM(G61:G64)</f>
        <v>5671.52</v>
      </c>
      <c r="H65" s="256"/>
      <c r="I65" s="256">
        <f>SUM(I61:I64)</f>
        <v>-1328.48</v>
      </c>
      <c r="J65" s="256"/>
      <c r="K65" s="319">
        <f>SUM(K61:K64)</f>
        <v>15250</v>
      </c>
      <c r="L65" s="256"/>
      <c r="M65" s="319">
        <f>SUM(M61:M64)</f>
        <v>14794.57</v>
      </c>
      <c r="N65" s="256"/>
      <c r="O65" s="256">
        <f>SUM(O61:O64)</f>
        <v>-455.43000000000029</v>
      </c>
      <c r="P65" s="258"/>
      <c r="Q65" s="261"/>
      <c r="R65" s="238"/>
    </row>
    <row r="66" spans="1:18">
      <c r="A66" s="238"/>
      <c r="B66" s="263"/>
      <c r="C66" s="260"/>
      <c r="D66" s="260"/>
      <c r="E66" s="317"/>
      <c r="F66" s="260"/>
      <c r="G66" s="317"/>
      <c r="H66" s="258"/>
      <c r="I66" s="256"/>
      <c r="J66" s="256"/>
      <c r="K66" s="319"/>
      <c r="L66" s="256"/>
      <c r="M66" s="319"/>
      <c r="N66" s="256"/>
      <c r="O66" s="256"/>
      <c r="P66" s="258"/>
      <c r="Q66" s="267"/>
      <c r="R66" s="238"/>
    </row>
    <row r="67" spans="1:18">
      <c r="A67" s="243"/>
      <c r="B67" s="259" t="s">
        <v>481</v>
      </c>
      <c r="C67" s="260"/>
      <c r="D67" s="250"/>
      <c r="E67" s="268"/>
      <c r="F67" s="268"/>
      <c r="G67" s="268"/>
      <c r="H67" s="251"/>
      <c r="I67" s="250"/>
      <c r="J67" s="250"/>
      <c r="K67" s="268"/>
      <c r="L67" s="250"/>
      <c r="M67" s="320"/>
      <c r="N67" s="250"/>
      <c r="O67" s="250"/>
      <c r="P67" s="251"/>
      <c r="Q67" s="269"/>
      <c r="R67" s="243"/>
    </row>
    <row r="68" spans="1:18">
      <c r="A68" s="243"/>
      <c r="B68" s="270" t="s">
        <v>196</v>
      </c>
      <c r="C68" s="260">
        <v>0</v>
      </c>
      <c r="D68" s="250"/>
      <c r="E68" s="268">
        <v>0</v>
      </c>
      <c r="F68" s="268"/>
      <c r="G68" s="268">
        <v>0</v>
      </c>
      <c r="H68" s="251"/>
      <c r="I68" s="260">
        <f>E68-G68</f>
        <v>0</v>
      </c>
      <c r="J68" s="260"/>
      <c r="K68" s="317">
        <v>0</v>
      </c>
      <c r="L68" s="260"/>
      <c r="M68" s="268">
        <v>8</v>
      </c>
      <c r="N68" s="260"/>
      <c r="O68" s="260">
        <f>K68-M68</f>
        <v>-8</v>
      </c>
      <c r="P68" s="251"/>
      <c r="Q68" s="269"/>
      <c r="R68" s="243"/>
    </row>
    <row r="69" spans="1:18">
      <c r="A69" s="243"/>
      <c r="B69" s="270" t="s">
        <v>483</v>
      </c>
      <c r="C69" s="260">
        <v>0</v>
      </c>
      <c r="D69" s="250"/>
      <c r="E69" s="268">
        <v>0</v>
      </c>
      <c r="F69" s="268"/>
      <c r="G69" s="268">
        <v>0</v>
      </c>
      <c r="H69" s="251"/>
      <c r="I69" s="260">
        <f t="shared" ref="I69:I80" si="6">E69-G69</f>
        <v>0</v>
      </c>
      <c r="J69" s="260"/>
      <c r="K69" s="317">
        <v>0</v>
      </c>
      <c r="L69" s="260"/>
      <c r="M69" s="268">
        <v>1817.5</v>
      </c>
      <c r="N69" s="260"/>
      <c r="O69" s="260">
        <f t="shared" ref="O69:O80" si="7">K69-M69</f>
        <v>-1817.5</v>
      </c>
      <c r="P69" s="251"/>
      <c r="Q69" s="269"/>
      <c r="R69" s="243"/>
    </row>
    <row r="70" spans="1:18">
      <c r="A70" s="238"/>
      <c r="B70" s="263" t="s">
        <v>602</v>
      </c>
      <c r="C70" s="260">
        <v>3000</v>
      </c>
      <c r="D70" s="260"/>
      <c r="E70" s="317">
        <v>1000</v>
      </c>
      <c r="F70" s="260"/>
      <c r="G70" s="317">
        <v>0</v>
      </c>
      <c r="H70" s="258"/>
      <c r="I70" s="260">
        <f t="shared" si="6"/>
        <v>1000</v>
      </c>
      <c r="J70" s="260"/>
      <c r="K70" s="317">
        <v>2000</v>
      </c>
      <c r="L70" s="260"/>
      <c r="M70" s="317">
        <v>0</v>
      </c>
      <c r="N70" s="260"/>
      <c r="O70" s="260">
        <f t="shared" si="7"/>
        <v>2000</v>
      </c>
      <c r="P70" s="258"/>
      <c r="Q70" s="261" t="s">
        <v>642</v>
      </c>
      <c r="R70" s="238"/>
    </row>
    <row r="71" spans="1:18">
      <c r="A71" s="238"/>
      <c r="B71" s="263" t="s">
        <v>603</v>
      </c>
      <c r="C71" s="260">
        <v>0</v>
      </c>
      <c r="D71" s="260"/>
      <c r="E71" s="317">
        <v>0</v>
      </c>
      <c r="F71" s="260"/>
      <c r="G71" s="317">
        <v>0</v>
      </c>
      <c r="H71" s="258"/>
      <c r="I71" s="260">
        <f t="shared" si="6"/>
        <v>0</v>
      </c>
      <c r="J71" s="260"/>
      <c r="K71" s="317">
        <v>0</v>
      </c>
      <c r="L71" s="260"/>
      <c r="M71" s="317">
        <v>0</v>
      </c>
      <c r="N71" s="260"/>
      <c r="O71" s="260">
        <f t="shared" si="7"/>
        <v>0</v>
      </c>
      <c r="P71" s="258"/>
      <c r="Q71" s="261"/>
      <c r="R71" s="238"/>
    </row>
    <row r="72" spans="1:18">
      <c r="A72" s="238"/>
      <c r="B72" s="263" t="s">
        <v>604</v>
      </c>
      <c r="C72" s="260">
        <v>0</v>
      </c>
      <c r="D72" s="260"/>
      <c r="E72" s="317">
        <v>0</v>
      </c>
      <c r="F72" s="260"/>
      <c r="G72" s="317">
        <v>0</v>
      </c>
      <c r="H72" s="258"/>
      <c r="I72" s="260">
        <f t="shared" si="6"/>
        <v>0</v>
      </c>
      <c r="J72" s="260"/>
      <c r="K72" s="317">
        <v>0</v>
      </c>
      <c r="L72" s="260"/>
      <c r="M72" s="317">
        <v>0</v>
      </c>
      <c r="N72" s="260"/>
      <c r="O72" s="260">
        <f t="shared" si="7"/>
        <v>0</v>
      </c>
      <c r="P72" s="258"/>
      <c r="Q72" s="261"/>
      <c r="R72" s="238"/>
    </row>
    <row r="73" spans="1:18">
      <c r="A73" s="238"/>
      <c r="B73" s="263" t="s">
        <v>605</v>
      </c>
      <c r="C73" s="260">
        <v>0</v>
      </c>
      <c r="D73" s="260"/>
      <c r="E73" s="317">
        <v>0</v>
      </c>
      <c r="F73" s="260"/>
      <c r="G73" s="317">
        <v>0</v>
      </c>
      <c r="H73" s="258"/>
      <c r="I73" s="260">
        <f t="shared" si="6"/>
        <v>0</v>
      </c>
      <c r="J73" s="260"/>
      <c r="K73" s="317">
        <v>0</v>
      </c>
      <c r="L73" s="260"/>
      <c r="M73" s="317">
        <v>0</v>
      </c>
      <c r="N73" s="260"/>
      <c r="O73" s="260">
        <f t="shared" si="7"/>
        <v>0</v>
      </c>
      <c r="P73" s="258"/>
      <c r="Q73" s="261"/>
      <c r="R73" s="238"/>
    </row>
    <row r="74" spans="1:18">
      <c r="A74" s="238"/>
      <c r="B74" s="263" t="s">
        <v>606</v>
      </c>
      <c r="C74" s="260">
        <v>2000</v>
      </c>
      <c r="D74" s="260"/>
      <c r="E74" s="317">
        <v>0</v>
      </c>
      <c r="F74" s="260"/>
      <c r="G74" s="317">
        <v>0</v>
      </c>
      <c r="H74" s="258"/>
      <c r="I74" s="260">
        <f t="shared" si="6"/>
        <v>0</v>
      </c>
      <c r="J74" s="260"/>
      <c r="K74" s="317">
        <v>0</v>
      </c>
      <c r="L74" s="260"/>
      <c r="M74" s="317">
        <v>0</v>
      </c>
      <c r="N74" s="260"/>
      <c r="O74" s="260">
        <f t="shared" si="7"/>
        <v>0</v>
      </c>
      <c r="P74" s="258"/>
      <c r="Q74" s="261"/>
      <c r="R74" s="238"/>
    </row>
    <row r="75" spans="1:18">
      <c r="A75" s="238"/>
      <c r="B75" s="263" t="s">
        <v>643</v>
      </c>
      <c r="C75" s="260">
        <v>1000</v>
      </c>
      <c r="D75" s="260"/>
      <c r="E75" s="317">
        <v>0</v>
      </c>
      <c r="F75" s="260"/>
      <c r="G75" s="317">
        <v>0</v>
      </c>
      <c r="H75" s="258"/>
      <c r="I75" s="260">
        <f t="shared" si="6"/>
        <v>0</v>
      </c>
      <c r="J75" s="260"/>
      <c r="K75" s="317">
        <v>0</v>
      </c>
      <c r="L75" s="260"/>
      <c r="M75" s="317">
        <v>0</v>
      </c>
      <c r="N75" s="260"/>
      <c r="O75" s="260">
        <f t="shared" si="7"/>
        <v>0</v>
      </c>
      <c r="P75" s="258"/>
      <c r="Q75" s="261"/>
      <c r="R75" s="238"/>
    </row>
    <row r="76" spans="1:18">
      <c r="A76" s="238"/>
      <c r="B76" s="263" t="s">
        <v>150</v>
      </c>
      <c r="C76" s="260">
        <v>300</v>
      </c>
      <c r="D76" s="260"/>
      <c r="E76" s="317">
        <v>0</v>
      </c>
      <c r="F76" s="260"/>
      <c r="G76" s="317">
        <v>0</v>
      </c>
      <c r="H76" s="258"/>
      <c r="I76" s="260">
        <f t="shared" si="6"/>
        <v>0</v>
      </c>
      <c r="J76" s="260"/>
      <c r="K76" s="317">
        <v>0</v>
      </c>
      <c r="L76" s="260"/>
      <c r="M76" s="317">
        <v>0</v>
      </c>
      <c r="N76" s="260"/>
      <c r="O76" s="260">
        <f t="shared" si="7"/>
        <v>0</v>
      </c>
      <c r="P76" s="258"/>
      <c r="Q76" s="261" t="s">
        <v>644</v>
      </c>
      <c r="R76" s="238"/>
    </row>
    <row r="77" spans="1:18">
      <c r="A77" s="238"/>
      <c r="B77" s="263" t="s">
        <v>608</v>
      </c>
      <c r="C77" s="260">
        <v>250</v>
      </c>
      <c r="D77" s="260"/>
      <c r="E77" s="317">
        <v>0</v>
      </c>
      <c r="F77" s="260"/>
      <c r="G77" s="317">
        <v>0</v>
      </c>
      <c r="H77" s="258"/>
      <c r="I77" s="260">
        <f t="shared" si="6"/>
        <v>0</v>
      </c>
      <c r="J77" s="260"/>
      <c r="K77" s="317">
        <v>0</v>
      </c>
      <c r="L77" s="260"/>
      <c r="M77" s="317">
        <v>85</v>
      </c>
      <c r="N77" s="260"/>
      <c r="O77" s="260">
        <f t="shared" si="7"/>
        <v>-85</v>
      </c>
      <c r="P77" s="258"/>
      <c r="Q77" s="261"/>
      <c r="R77" s="238"/>
    </row>
    <row r="78" spans="1:18">
      <c r="A78" s="238"/>
      <c r="B78" s="263" t="s">
        <v>609</v>
      </c>
      <c r="C78" s="260">
        <v>500</v>
      </c>
      <c r="D78" s="260"/>
      <c r="E78" s="317">
        <v>0</v>
      </c>
      <c r="F78" s="260"/>
      <c r="G78" s="317">
        <v>0</v>
      </c>
      <c r="H78" s="258"/>
      <c r="I78" s="260">
        <f t="shared" si="6"/>
        <v>0</v>
      </c>
      <c r="J78" s="260"/>
      <c r="K78" s="317">
        <v>0</v>
      </c>
      <c r="L78" s="260"/>
      <c r="M78" s="317">
        <v>0</v>
      </c>
      <c r="N78" s="260"/>
      <c r="O78" s="260">
        <f t="shared" si="7"/>
        <v>0</v>
      </c>
      <c r="P78" s="258"/>
      <c r="Q78" s="267"/>
      <c r="R78" s="238"/>
    </row>
    <row r="79" spans="1:18">
      <c r="A79" s="238"/>
      <c r="B79" s="263" t="s">
        <v>610</v>
      </c>
      <c r="C79" s="260">
        <v>4000</v>
      </c>
      <c r="D79" s="260"/>
      <c r="E79" s="317">
        <v>0</v>
      </c>
      <c r="F79" s="260"/>
      <c r="G79" s="317">
        <v>0</v>
      </c>
      <c r="H79" s="258"/>
      <c r="I79" s="260">
        <f t="shared" si="6"/>
        <v>0</v>
      </c>
      <c r="J79" s="260"/>
      <c r="K79" s="317">
        <v>0</v>
      </c>
      <c r="L79" s="260"/>
      <c r="M79" s="317">
        <v>0</v>
      </c>
      <c r="N79" s="260"/>
      <c r="O79" s="260">
        <f t="shared" si="7"/>
        <v>0</v>
      </c>
      <c r="P79" s="258"/>
      <c r="Q79" s="271"/>
      <c r="R79" s="238"/>
    </row>
    <row r="80" spans="1:18">
      <c r="A80" s="238"/>
      <c r="B80" s="263" t="s">
        <v>564</v>
      </c>
      <c r="C80" s="260">
        <v>0</v>
      </c>
      <c r="D80" s="260"/>
      <c r="E80" s="317">
        <v>0</v>
      </c>
      <c r="F80" s="266"/>
      <c r="G80" s="317">
        <v>0</v>
      </c>
      <c r="H80" s="258"/>
      <c r="I80" s="260">
        <f t="shared" si="6"/>
        <v>0</v>
      </c>
      <c r="J80" s="260"/>
      <c r="K80" s="317">
        <v>0</v>
      </c>
      <c r="L80" s="260"/>
      <c r="M80" s="317">
        <v>0</v>
      </c>
      <c r="N80" s="260"/>
      <c r="O80" s="260">
        <f t="shared" si="7"/>
        <v>0</v>
      </c>
      <c r="P80" s="258"/>
      <c r="Q80" s="261"/>
      <c r="R80" s="238"/>
    </row>
    <row r="81" spans="1:18">
      <c r="A81" s="238"/>
      <c r="B81" s="263" t="s">
        <v>645</v>
      </c>
      <c r="C81" s="260"/>
      <c r="D81" s="260"/>
      <c r="E81" s="266"/>
      <c r="F81" s="266"/>
      <c r="G81" s="317">
        <v>4000</v>
      </c>
      <c r="H81" s="258"/>
      <c r="I81" s="260"/>
      <c r="J81" s="260"/>
      <c r="K81" s="317"/>
      <c r="L81" s="260"/>
      <c r="M81" s="317">
        <v>4000</v>
      </c>
      <c r="N81" s="260"/>
      <c r="O81" s="260"/>
      <c r="P81" s="258"/>
      <c r="Q81" s="261" t="s">
        <v>646</v>
      </c>
      <c r="R81" s="238"/>
    </row>
    <row r="82" spans="1:18">
      <c r="A82" s="238"/>
      <c r="B82" s="259" t="s">
        <v>13</v>
      </c>
      <c r="C82" s="256">
        <f>SUM(C68:C81)</f>
        <v>11050</v>
      </c>
      <c r="D82" s="256"/>
      <c r="E82" s="256">
        <f>SUM(E68:E81)</f>
        <v>1000</v>
      </c>
      <c r="F82" s="256"/>
      <c r="G82" s="319">
        <f>SUM(G68:G81)</f>
        <v>4000</v>
      </c>
      <c r="H82" s="256"/>
      <c r="I82" s="256">
        <f>SUM(I68:I81)</f>
        <v>1000</v>
      </c>
      <c r="J82" s="256"/>
      <c r="K82" s="256">
        <f>SUM(K68:K81)</f>
        <v>2000</v>
      </c>
      <c r="L82" s="256"/>
      <c r="M82" s="256">
        <f>SUM(M68:M81)</f>
        <v>5910.5</v>
      </c>
      <c r="N82" s="256"/>
      <c r="O82" s="256">
        <f>SUM(O68:O81)</f>
        <v>89.5</v>
      </c>
      <c r="P82" s="258"/>
      <c r="Q82" s="261"/>
      <c r="R82" s="238"/>
    </row>
    <row r="83" spans="1:18">
      <c r="A83" s="238"/>
      <c r="B83" s="259"/>
      <c r="C83" s="256"/>
      <c r="D83" s="260"/>
      <c r="E83" s="260"/>
      <c r="F83" s="260"/>
      <c r="G83" s="260"/>
      <c r="H83" s="258"/>
      <c r="I83" s="260"/>
      <c r="J83" s="260"/>
      <c r="K83" s="260"/>
      <c r="L83" s="260"/>
      <c r="M83" s="260"/>
      <c r="N83" s="260"/>
      <c r="O83" s="260"/>
      <c r="P83" s="258"/>
      <c r="Q83" s="261"/>
      <c r="R83" s="238"/>
    </row>
    <row r="84" spans="1:18">
      <c r="A84" s="238"/>
      <c r="B84" s="259" t="s">
        <v>484</v>
      </c>
      <c r="C84" s="256">
        <f>C65-C82</f>
        <v>8200</v>
      </c>
      <c r="D84" s="272"/>
      <c r="E84" s="272">
        <f>E65-E82</f>
        <v>6000</v>
      </c>
      <c r="F84" s="272"/>
      <c r="G84" s="272">
        <f>G65-G82</f>
        <v>1671.5200000000004</v>
      </c>
      <c r="H84" s="258"/>
      <c r="I84" s="272">
        <f>I65+I82</f>
        <v>-328.48</v>
      </c>
      <c r="J84" s="272"/>
      <c r="K84" s="272">
        <f>K65-K82</f>
        <v>13250</v>
      </c>
      <c r="L84" s="272"/>
      <c r="M84" s="272">
        <f>M65-M82</f>
        <v>8884.07</v>
      </c>
      <c r="N84" s="272"/>
      <c r="O84" s="272">
        <f>O65+O82</f>
        <v>-365.93000000000029</v>
      </c>
      <c r="P84" s="258"/>
      <c r="Q84" s="261"/>
      <c r="R84" s="238"/>
    </row>
    <row r="85" spans="1:18" ht="13.5" thickBot="1">
      <c r="A85" s="238"/>
      <c r="B85" s="263"/>
      <c r="C85" s="260"/>
      <c r="D85" s="273"/>
      <c r="E85" s="273"/>
      <c r="F85" s="273"/>
      <c r="G85" s="273"/>
      <c r="H85" s="274"/>
      <c r="I85" s="273"/>
      <c r="J85" s="273"/>
      <c r="K85" s="273"/>
      <c r="L85" s="273"/>
      <c r="M85" s="273"/>
      <c r="N85" s="273"/>
      <c r="O85" s="273"/>
      <c r="P85" s="274"/>
      <c r="Q85" s="275"/>
      <c r="R85" s="238"/>
    </row>
    <row r="86" spans="1:18" ht="13.5" thickBot="1">
      <c r="A86" s="243"/>
      <c r="B86" s="277" t="s">
        <v>611</v>
      </c>
      <c r="C86" s="278"/>
      <c r="D86" s="279"/>
      <c r="E86" s="280">
        <f>E58+G84</f>
        <v>43329.600000000006</v>
      </c>
      <c r="F86" s="272"/>
      <c r="G86" s="272"/>
      <c r="H86" s="243"/>
      <c r="I86" s="281"/>
      <c r="J86" s="281"/>
      <c r="K86" s="281"/>
      <c r="L86" s="281"/>
      <c r="M86" s="281"/>
      <c r="N86" s="281"/>
      <c r="O86" s="281"/>
      <c r="P86" s="243"/>
      <c r="Q86" s="282"/>
      <c r="R86" s="243"/>
    </row>
    <row r="87" spans="1:18" ht="13.5" thickBot="1">
      <c r="A87" s="238"/>
      <c r="B87" s="283"/>
      <c r="C87" s="284"/>
      <c r="D87" s="284"/>
      <c r="E87" s="284"/>
      <c r="F87" s="284"/>
      <c r="G87" s="284"/>
      <c r="H87" s="238"/>
      <c r="I87" s="284"/>
      <c r="J87" s="284"/>
      <c r="K87" s="284"/>
      <c r="L87" s="284"/>
      <c r="M87" s="284"/>
      <c r="N87" s="284"/>
      <c r="O87" s="284"/>
      <c r="P87" s="238"/>
      <c r="Q87" s="285"/>
      <c r="R87" s="238"/>
    </row>
    <row r="88" spans="1:18">
      <c r="A88" s="238"/>
      <c r="B88" s="286" t="s">
        <v>486</v>
      </c>
      <c r="C88" s="287"/>
      <c r="D88" s="287"/>
      <c r="E88" s="253"/>
      <c r="F88" s="253"/>
      <c r="G88" s="253"/>
      <c r="H88" s="288"/>
      <c r="I88" s="289"/>
      <c r="J88" s="289"/>
      <c r="K88" s="289"/>
      <c r="L88" s="289"/>
      <c r="M88" s="289"/>
      <c r="N88" s="289"/>
      <c r="O88" s="289"/>
      <c r="P88" s="288"/>
      <c r="Q88" s="255"/>
      <c r="R88" s="238"/>
    </row>
    <row r="89" spans="1:18">
      <c r="A89" s="238"/>
      <c r="B89" s="263"/>
      <c r="C89" s="260"/>
      <c r="D89" s="260"/>
      <c r="E89" s="256" t="s">
        <v>487</v>
      </c>
      <c r="F89" s="256"/>
      <c r="G89" s="256"/>
      <c r="H89" s="258"/>
      <c r="I89" s="290" t="s">
        <v>488</v>
      </c>
      <c r="J89" s="290"/>
      <c r="K89" s="290"/>
      <c r="L89" s="290"/>
      <c r="M89" s="290"/>
      <c r="N89" s="290"/>
      <c r="O89" s="290"/>
      <c r="P89" s="258"/>
      <c r="Q89" s="261"/>
      <c r="R89" s="238"/>
    </row>
    <row r="90" spans="1:18">
      <c r="A90" s="238"/>
      <c r="B90" s="291" t="s">
        <v>490</v>
      </c>
      <c r="C90" s="260"/>
      <c r="D90" s="260"/>
      <c r="E90" s="256">
        <f>SUM(E91:E92)</f>
        <v>15606.05</v>
      </c>
      <c r="F90" s="256"/>
      <c r="G90" s="256"/>
      <c r="H90" s="258"/>
      <c r="I90" s="292"/>
      <c r="J90" s="292"/>
      <c r="K90" s="292"/>
      <c r="L90" s="292"/>
      <c r="M90" s="292"/>
      <c r="N90" s="292"/>
      <c r="O90" s="292"/>
      <c r="P90" s="258"/>
      <c r="Q90" s="261"/>
      <c r="R90" s="238"/>
    </row>
    <row r="91" spans="1:18">
      <c r="A91" s="238"/>
      <c r="B91" s="263" t="s">
        <v>612</v>
      </c>
      <c r="C91" s="260"/>
      <c r="D91" s="260"/>
      <c r="E91" s="260">
        <v>15000</v>
      </c>
      <c r="F91" s="260"/>
      <c r="G91" s="260"/>
      <c r="H91" s="258"/>
      <c r="I91" s="292" t="s">
        <v>613</v>
      </c>
      <c r="J91" s="292"/>
      <c r="K91" s="292"/>
      <c r="L91" s="292"/>
      <c r="M91" s="292"/>
      <c r="N91" s="292"/>
      <c r="O91" s="292"/>
      <c r="P91" s="258"/>
      <c r="Q91" s="261"/>
      <c r="R91" s="238"/>
    </row>
    <row r="92" spans="1:18">
      <c r="A92" s="238"/>
      <c r="B92" s="263" t="s">
        <v>614</v>
      </c>
      <c r="C92" s="260"/>
      <c r="D92" s="260"/>
      <c r="E92" s="260">
        <f>534.05+72</f>
        <v>606.04999999999995</v>
      </c>
      <c r="F92" s="260"/>
      <c r="G92" s="260"/>
      <c r="H92" s="258"/>
      <c r="I92" s="292" t="s">
        <v>615</v>
      </c>
      <c r="J92" s="292"/>
      <c r="K92" s="292"/>
      <c r="L92" s="292"/>
      <c r="M92" s="292"/>
      <c r="N92" s="292"/>
      <c r="O92" s="292"/>
      <c r="P92" s="258"/>
      <c r="Q92" s="293"/>
      <c r="R92" s="238"/>
    </row>
    <row r="93" spans="1:18">
      <c r="A93" s="238"/>
      <c r="B93" s="263"/>
      <c r="C93" s="260"/>
      <c r="D93" s="260"/>
      <c r="E93" s="260"/>
      <c r="F93" s="260"/>
      <c r="G93" s="260"/>
      <c r="H93" s="258"/>
      <c r="I93" s="292"/>
      <c r="J93" s="292"/>
      <c r="K93" s="292"/>
      <c r="L93" s="292"/>
      <c r="M93" s="292"/>
      <c r="N93" s="292"/>
      <c r="O93" s="292"/>
      <c r="P93" s="258"/>
      <c r="Q93" s="293"/>
      <c r="R93" s="238"/>
    </row>
    <row r="94" spans="1:18">
      <c r="A94" s="238"/>
      <c r="B94" s="294" t="s">
        <v>616</v>
      </c>
      <c r="C94" s="260"/>
      <c r="D94" s="260"/>
      <c r="E94" s="295">
        <f>E95</f>
        <v>0</v>
      </c>
      <c r="F94" s="295"/>
      <c r="G94" s="295"/>
      <c r="H94" s="258"/>
      <c r="I94" s="292"/>
      <c r="J94" s="292"/>
      <c r="K94" s="292"/>
      <c r="L94" s="292"/>
      <c r="M94" s="292"/>
      <c r="N94" s="292"/>
      <c r="O94" s="292"/>
      <c r="P94" s="258"/>
      <c r="Q94" s="293"/>
      <c r="R94" s="238"/>
    </row>
    <row r="95" spans="1:18">
      <c r="A95" s="238"/>
      <c r="B95" s="270"/>
      <c r="C95" s="260"/>
      <c r="D95" s="260"/>
      <c r="E95" s="260"/>
      <c r="F95" s="260"/>
      <c r="G95" s="260"/>
      <c r="H95" s="258"/>
      <c r="I95" s="292"/>
      <c r="J95" s="292"/>
      <c r="K95" s="292"/>
      <c r="L95" s="292"/>
      <c r="M95" s="292"/>
      <c r="N95" s="292"/>
      <c r="O95" s="292"/>
      <c r="P95" s="258"/>
      <c r="Q95" s="293"/>
      <c r="R95" s="238"/>
    </row>
    <row r="96" spans="1:18">
      <c r="A96" s="238"/>
      <c r="B96" s="263"/>
      <c r="C96" s="260"/>
      <c r="D96" s="260"/>
      <c r="E96" s="260"/>
      <c r="F96" s="260"/>
      <c r="G96" s="260"/>
      <c r="H96" s="258"/>
      <c r="I96" s="292"/>
      <c r="J96" s="292"/>
      <c r="K96" s="292"/>
      <c r="L96" s="292"/>
      <c r="M96" s="292"/>
      <c r="N96" s="292"/>
      <c r="O96" s="292"/>
      <c r="P96" s="258"/>
      <c r="Q96" s="261"/>
      <c r="R96" s="238"/>
    </row>
    <row r="97" spans="1:18" ht="13.5" thickBot="1">
      <c r="A97" s="238"/>
      <c r="B97" s="296" t="s">
        <v>494</v>
      </c>
      <c r="C97" s="297"/>
      <c r="D97" s="297"/>
      <c r="E97" s="273">
        <f>E84-E90+E94</f>
        <v>-9606.0499999999993</v>
      </c>
      <c r="F97" s="273"/>
      <c r="G97" s="273"/>
      <c r="H97" s="274"/>
      <c r="I97" s="298"/>
      <c r="J97" s="298"/>
      <c r="K97" s="298"/>
      <c r="L97" s="298"/>
      <c r="M97" s="298"/>
      <c r="N97" s="298"/>
      <c r="O97" s="298"/>
      <c r="P97" s="274"/>
      <c r="Q97" s="299"/>
      <c r="R97" s="238"/>
    </row>
    <row r="98" spans="1:18" ht="13.5" thickBot="1">
      <c r="A98" s="238"/>
      <c r="B98" s="262"/>
      <c r="C98" s="239"/>
      <c r="D98" s="239"/>
      <c r="E98" s="239"/>
      <c r="F98" s="239"/>
      <c r="G98" s="239"/>
      <c r="H98" s="238"/>
      <c r="I98" s="239"/>
      <c r="J98" s="239"/>
      <c r="K98" s="239"/>
      <c r="L98" s="239"/>
      <c r="M98" s="239"/>
      <c r="N98" s="239"/>
      <c r="O98" s="239"/>
      <c r="P98" s="238"/>
      <c r="Q98" s="240"/>
      <c r="R98" s="238"/>
    </row>
    <row r="99" spans="1:18" ht="13.5" thickBot="1">
      <c r="A99" s="238"/>
      <c r="B99" s="277" t="s">
        <v>495</v>
      </c>
      <c r="C99" s="300"/>
      <c r="D99" s="300"/>
      <c r="E99" s="301">
        <f>E86-E90+E94</f>
        <v>27723.550000000007</v>
      </c>
      <c r="F99" s="256"/>
      <c r="G99" s="256"/>
      <c r="H99" s="238"/>
      <c r="I99" s="243"/>
      <c r="J99" s="243"/>
      <c r="K99" s="243"/>
      <c r="L99" s="243"/>
      <c r="M99" s="243"/>
      <c r="N99" s="243"/>
      <c r="O99" s="243"/>
      <c r="P99" s="238"/>
      <c r="Q99" s="240"/>
      <c r="R99" s="238"/>
    </row>
    <row r="100" spans="1:18">
      <c r="A100" s="238"/>
      <c r="B100" s="238"/>
      <c r="C100" s="239"/>
      <c r="D100" s="239"/>
      <c r="E100" s="239"/>
      <c r="F100" s="239"/>
      <c r="G100" s="239"/>
      <c r="H100" s="238"/>
      <c r="I100" s="239"/>
      <c r="J100" s="239"/>
      <c r="K100" s="239"/>
      <c r="L100" s="239"/>
      <c r="M100" s="239"/>
      <c r="N100" s="239"/>
      <c r="O100" s="239"/>
      <c r="P100" s="238"/>
      <c r="Q100" s="240"/>
      <c r="R100" s="238"/>
    </row>
  </sheetData>
  <mergeCells count="10">
    <mergeCell ref="F2:K2"/>
    <mergeCell ref="Q7:R7"/>
    <mergeCell ref="Q8:R8"/>
    <mergeCell ref="Q12:R12"/>
    <mergeCell ref="Q33:R33"/>
    <mergeCell ref="D56:Q56"/>
    <mergeCell ref="Q21:R21"/>
    <mergeCell ref="Q27:R27"/>
    <mergeCell ref="Q28:R28"/>
    <mergeCell ref="Q30:R30"/>
  </mergeCells>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Current Account 09-10</vt:lpstr>
      <vt:lpstr>Erg Charging</vt:lpstr>
      <vt:lpstr>Subs + JCR Contribution</vt:lpstr>
      <vt:lpstr>Money Owed By Students</vt:lpstr>
      <vt:lpstr>Treasurer</vt:lpstr>
      <vt:lpstr>Secretary</vt:lpstr>
      <vt:lpstr>Rack Hire</vt:lpstr>
      <vt:lpstr>IS T1</vt:lpstr>
      <vt:lpstr>IS T2</vt:lpstr>
      <vt:lpstr>IS T3</vt:lpstr>
      <vt:lpstr>IS FY</vt:lpstr>
      <vt:lpstr>Budget</vt:lpstr>
      <vt:lpstr>Mens Captains Budget</vt:lpstr>
      <vt:lpstr>Womens Captains Budget</vt:lpstr>
      <vt:lpstr>Training Camp Budget</vt:lpstr>
      <vt:lpstr>Insurance Schedule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Dell User</dc:creator>
  <cp:lastModifiedBy>Pernille Thuesen</cp:lastModifiedBy>
  <dcterms:created xsi:type="dcterms:W3CDTF">2008-06-21T08:34:47Z</dcterms:created>
  <dcterms:modified xsi:type="dcterms:W3CDTF">2010-09-10T11:46:21Z</dcterms:modified>
</cp:coreProperties>
</file>