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fo\AppData\Local\Microsoft\Windows\INetCache\Content.Outlook\3WS5JMYS\"/>
    </mc:Choice>
  </mc:AlternateContent>
  <xr:revisionPtr revIDLastSave="0" documentId="13_ncr:1_{D6957BDB-8415-4468-A9E4-5BACED52885B}" xr6:coauthVersionLast="47" xr6:coauthVersionMax="47" xr10:uidLastSave="{00000000-0000-0000-0000-000000000000}"/>
  <bookViews>
    <workbookView xWindow="-110" yWindow="-110" windowWidth="19420" windowHeight="11500" tabRatio="855" xr2:uid="{C450BF7F-6A2B-4870-A053-688C99B464CA}"/>
  </bookViews>
  <sheets>
    <sheet name="PL_Consol" sheetId="13" r:id="rId1"/>
    <sheet name="Anx_Consl_PL" sheetId="20" state="hidden" r:id="rId2"/>
    <sheet name="PL_Kochi" sheetId="3" r:id="rId3"/>
    <sheet name="PL_Calicut" sheetId="11" r:id="rId4"/>
    <sheet name="PL_FNB" sheetId="12" r:id="rId5"/>
    <sheet name="Depr." sheetId="22" r:id="rId6"/>
    <sheet name="ECL" sheetId="23" r:id="rId7"/>
    <sheet name="TB_Kochi" sheetId="2" r:id="rId8"/>
    <sheet name="Sheet1" sheetId="24" r:id="rId9"/>
    <sheet name="TB_Calicut" sheetId="5" r:id="rId10"/>
    <sheet name="TB_FNB" sheetId="7" r:id="rId11"/>
    <sheet name="PL_F&amp;B" sheetId="8" state="hidden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0" hidden="1">TB_FNB!$B$75:$B$444</definedName>
    <definedName name="_xlnm._FilterDatabase" localSheetId="7" hidden="1">TB_Kochi!$B$215:$B$215</definedName>
    <definedName name="_xlcn.WorksheetConnection_Profit_and_Loss_Statement_FY26.xlsxTB_Calicut" hidden="1">TB_Calicut[]</definedName>
    <definedName name="_xlcn.WorksheetConnection_Profit_and_Loss_Statement_FY26.xlsxTB_FNB" hidden="1">TB_FNB[]</definedName>
    <definedName name="_xlcn.WorksheetConnection_Profit_and_Loss_Statement_FY26.xlsxTB_Kochi" hidden="1">TB_Kochi[]</definedName>
  </definedNames>
  <calcPr calcId="191029"/>
  <pivotCaches>
    <pivotCache cacheId="0" r:id="rId18"/>
  </pivotCaches>
  <extLst>
    <ext xmlns:x15="http://schemas.microsoft.com/office/spreadsheetml/2010/11/main" uri="{FCE2AD5D-F65C-4FA6-A056-5C36A1767C68}">
      <x15:dataModel>
        <x15:modelTables>
          <x15:modelTable id="TB_Kochi" name="TB_Kochi" connection="WorksheetConnection_Profit_and_Loss_Statement_FY26.xlsx!TB_Kochi"/>
          <x15:modelTable id="TB_FNB" name="TB_FNB" connection="WorksheetConnection_Profit_and_Loss_Statement_FY26.xlsx!TB_FNB"/>
          <x15:modelTable id="TB_Calicut" name="TB_Calicut" connection="WorksheetConnection_Profit_and_Loss_Statement_FY26.xlsx!TB_Calicut"/>
        </x15:modelTables>
        <x15:modelRelationships>
          <x15:modelRelationship fromTable="TB_Kochi" fromColumn="Description" toTable="TB_FNB" toColumn="Descript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13" l="1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U9" i="13"/>
  <c r="U7" i="13"/>
  <c r="M44" i="23" l="1"/>
  <c r="S9" i="12" l="1"/>
  <c r="S11" i="11"/>
  <c r="R11" i="11"/>
  <c r="X13" i="3"/>
  <c r="S26" i="12"/>
  <c r="AA3" i="7"/>
  <c r="AA4" i="7"/>
  <c r="AA5" i="7"/>
  <c r="S8" i="12" s="1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S11" i="12" s="1"/>
  <c r="AA24" i="7"/>
  <c r="AA25" i="7"/>
  <c r="AA26" i="7"/>
  <c r="AA27" i="7"/>
  <c r="AA28" i="7"/>
  <c r="AA29" i="7"/>
  <c r="AA30" i="7"/>
  <c r="S19" i="12" s="1"/>
  <c r="AA31" i="7"/>
  <c r="S12" i="12" s="1"/>
  <c r="AA32" i="7"/>
  <c r="S15" i="12" s="1"/>
  <c r="AA33" i="7"/>
  <c r="AA34" i="7"/>
  <c r="AA35" i="7"/>
  <c r="AA36" i="7"/>
  <c r="S14" i="12" s="1"/>
  <c r="AA37" i="7"/>
  <c r="AA38" i="7"/>
  <c r="AA39" i="7"/>
  <c r="AA40" i="7"/>
  <c r="S16" i="12" s="1"/>
  <c r="AA41" i="7"/>
  <c r="AA42" i="7"/>
  <c r="AA43" i="7"/>
  <c r="S17" i="12" s="1"/>
  <c r="AA44" i="7"/>
  <c r="AA45" i="7"/>
  <c r="AA46" i="7"/>
  <c r="AA47" i="7"/>
  <c r="AA48" i="7"/>
  <c r="AA49" i="7"/>
  <c r="AA50" i="7"/>
  <c r="AA51" i="7"/>
  <c r="S13" i="12" s="1"/>
  <c r="AA52" i="7"/>
  <c r="S18" i="12" s="1"/>
  <c r="AA53" i="7"/>
  <c r="AA54" i="7"/>
  <c r="AA55" i="7"/>
  <c r="AA56" i="7"/>
  <c r="AA57" i="7"/>
  <c r="AA58" i="7"/>
  <c r="AA59" i="7"/>
  <c r="S20" i="12" s="1"/>
  <c r="AA60" i="7"/>
  <c r="AA61" i="7"/>
  <c r="AA62" i="7"/>
  <c r="AA63" i="7"/>
  <c r="AA64" i="7"/>
  <c r="AA65" i="7"/>
  <c r="AA66" i="7"/>
  <c r="AA67" i="7"/>
  <c r="AA68" i="7"/>
  <c r="AA73" i="7"/>
  <c r="S38" i="11"/>
  <c r="S27" i="11"/>
  <c r="S26" i="11"/>
  <c r="AB65" i="5"/>
  <c r="AB64" i="5"/>
  <c r="S16" i="11" s="1"/>
  <c r="AB63" i="5"/>
  <c r="AB62" i="5"/>
  <c r="AB61" i="5"/>
  <c r="S32" i="11" s="1"/>
  <c r="AB60" i="5"/>
  <c r="AB59" i="5"/>
  <c r="AB58" i="5"/>
  <c r="AB57" i="5"/>
  <c r="AB56" i="5"/>
  <c r="AB55" i="5"/>
  <c r="AB54" i="5"/>
  <c r="AB53" i="5"/>
  <c r="AB52" i="5"/>
  <c r="S28" i="11" s="1"/>
  <c r="AB51" i="5"/>
  <c r="AB50" i="5"/>
  <c r="S21" i="11" s="1"/>
  <c r="AB49" i="5"/>
  <c r="S25" i="11" s="1"/>
  <c r="AB48" i="5"/>
  <c r="S29" i="11" s="1"/>
  <c r="AB47" i="5"/>
  <c r="S22" i="11" s="1"/>
  <c r="AB46" i="5"/>
  <c r="AB45" i="5"/>
  <c r="AB44" i="5"/>
  <c r="AB43" i="5"/>
  <c r="AB42" i="5"/>
  <c r="AB41" i="5"/>
  <c r="AB40" i="5"/>
  <c r="AB39" i="5"/>
  <c r="AB38" i="5"/>
  <c r="AB37" i="5"/>
  <c r="AB36" i="5"/>
  <c r="AB35" i="5"/>
  <c r="S19" i="11" s="1"/>
  <c r="AB34" i="5"/>
  <c r="S18" i="11" s="1"/>
  <c r="AB33" i="5"/>
  <c r="AB32" i="5"/>
  <c r="AB31" i="5"/>
  <c r="AB30" i="5"/>
  <c r="AB29" i="5"/>
  <c r="AB28" i="5"/>
  <c r="AB27" i="5"/>
  <c r="S17" i="11" s="1"/>
  <c r="AB26" i="5"/>
  <c r="AB25" i="5"/>
  <c r="AB24" i="5"/>
  <c r="AB23" i="5"/>
  <c r="AB22" i="5"/>
  <c r="AB21" i="5"/>
  <c r="S14" i="11" s="1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S10" i="11" s="1"/>
  <c r="AB7" i="5"/>
  <c r="AB6" i="5"/>
  <c r="AB5" i="5"/>
  <c r="AB4" i="5"/>
  <c r="AB3" i="5"/>
  <c r="S20" i="11" l="1"/>
  <c r="S23" i="11"/>
  <c r="AA74" i="7"/>
  <c r="S7" i="12"/>
  <c r="S24" i="11"/>
  <c r="AB70" i="5"/>
  <c r="S13" i="11"/>
  <c r="S31" i="11"/>
  <c r="S33" i="11" s="1"/>
  <c r="S30" i="11"/>
  <c r="S15" i="11"/>
  <c r="S21" i="12"/>
  <c r="AB210" i="2"/>
  <c r="AB205" i="2"/>
  <c r="T12" i="13" l="1"/>
  <c r="S23" i="12"/>
  <c r="AB211" i="2"/>
  <c r="X12" i="13" l="1"/>
  <c r="F222" i="2"/>
  <c r="L202" i="2" l="1"/>
  <c r="V215" i="2" l="1"/>
  <c r="V216" i="2" s="1"/>
  <c r="S24" i="3" l="1"/>
  <c r="T26" i="13" s="1"/>
  <c r="S26" i="3"/>
  <c r="T27" i="13" s="1"/>
  <c r="O29" i="8"/>
  <c r="O28" i="8"/>
  <c r="O27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O21" i="8"/>
  <c r="M21" i="8"/>
  <c r="L21" i="8"/>
  <c r="K21" i="8"/>
  <c r="J21" i="8"/>
  <c r="I21" i="8"/>
  <c r="H21" i="8"/>
  <c r="G21" i="8"/>
  <c r="F21" i="8"/>
  <c r="E21" i="8"/>
  <c r="D21" i="8"/>
  <c r="C21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M16" i="8"/>
  <c r="L16" i="8"/>
  <c r="K16" i="8"/>
  <c r="J16" i="8"/>
  <c r="I16" i="8"/>
  <c r="H16" i="8"/>
  <c r="G16" i="8"/>
  <c r="F16" i="8"/>
  <c r="E16" i="8"/>
  <c r="D16" i="8"/>
  <c r="C16" i="8"/>
  <c r="O15" i="8"/>
  <c r="M15" i="8"/>
  <c r="L15" i="8"/>
  <c r="K15" i="8"/>
  <c r="J15" i="8"/>
  <c r="I15" i="8"/>
  <c r="H15" i="8"/>
  <c r="G15" i="8"/>
  <c r="F15" i="8"/>
  <c r="E15" i="8"/>
  <c r="D15" i="8"/>
  <c r="C15" i="8"/>
  <c r="O14" i="8"/>
  <c r="M14" i="8"/>
  <c r="L14" i="8"/>
  <c r="K14" i="8"/>
  <c r="J14" i="8"/>
  <c r="I14" i="8"/>
  <c r="H14" i="8"/>
  <c r="G14" i="8"/>
  <c r="F14" i="8"/>
  <c r="E14" i="8"/>
  <c r="D14" i="8"/>
  <c r="C14" i="8"/>
  <c r="O13" i="8"/>
  <c r="M13" i="8"/>
  <c r="L13" i="8"/>
  <c r="K13" i="8"/>
  <c r="J13" i="8"/>
  <c r="I13" i="8"/>
  <c r="H13" i="8"/>
  <c r="G13" i="8"/>
  <c r="F13" i="8"/>
  <c r="E13" i="8"/>
  <c r="D13" i="8"/>
  <c r="C13" i="8"/>
  <c r="O12" i="8"/>
  <c r="M12" i="8"/>
  <c r="L12" i="8"/>
  <c r="K12" i="8"/>
  <c r="J12" i="8"/>
  <c r="I12" i="8"/>
  <c r="H12" i="8"/>
  <c r="G12" i="8"/>
  <c r="F12" i="8"/>
  <c r="E12" i="8"/>
  <c r="D12" i="8"/>
  <c r="C12" i="8"/>
  <c r="O11" i="8"/>
  <c r="M11" i="8"/>
  <c r="L11" i="8"/>
  <c r="K11" i="8"/>
  <c r="J11" i="8"/>
  <c r="I11" i="8"/>
  <c r="H11" i="8"/>
  <c r="G11" i="8"/>
  <c r="F11" i="8"/>
  <c r="E11" i="8"/>
  <c r="D11" i="8"/>
  <c r="C11" i="8"/>
  <c r="O10" i="8"/>
  <c r="M10" i="8"/>
  <c r="L10" i="8"/>
  <c r="K10" i="8"/>
  <c r="J10" i="8"/>
  <c r="I10" i="8"/>
  <c r="H10" i="8"/>
  <c r="G10" i="8"/>
  <c r="F10" i="8"/>
  <c r="E10" i="8"/>
  <c r="D10" i="8"/>
  <c r="C10" i="8"/>
  <c r="O9" i="8"/>
  <c r="M9" i="8"/>
  <c r="L9" i="8"/>
  <c r="K9" i="8"/>
  <c r="J9" i="8"/>
  <c r="I9" i="8"/>
  <c r="H9" i="8"/>
  <c r="G9" i="8"/>
  <c r="F9" i="8"/>
  <c r="E9" i="8"/>
  <c r="D9" i="8"/>
  <c r="C9" i="8"/>
  <c r="O8" i="8"/>
  <c r="M8" i="8"/>
  <c r="L8" i="8"/>
  <c r="K8" i="8"/>
  <c r="J8" i="8"/>
  <c r="I8" i="8"/>
  <c r="H8" i="8"/>
  <c r="G8" i="8"/>
  <c r="F8" i="8"/>
  <c r="E8" i="8"/>
  <c r="D8" i="8"/>
  <c r="C8" i="8"/>
  <c r="O6" i="8"/>
  <c r="N6" i="8"/>
  <c r="M6" i="8"/>
  <c r="L6" i="8"/>
  <c r="K6" i="8"/>
  <c r="J6" i="8"/>
  <c r="I6" i="8"/>
  <c r="H6" i="8"/>
  <c r="G6" i="8"/>
  <c r="F6" i="8"/>
  <c r="E6" i="8"/>
  <c r="D6" i="8"/>
  <c r="C6" i="8"/>
  <c r="O5" i="8"/>
  <c r="M5" i="8"/>
  <c r="L5" i="8"/>
  <c r="K5" i="8"/>
  <c r="J5" i="8"/>
  <c r="I5" i="8"/>
  <c r="H5" i="8"/>
  <c r="G5" i="8"/>
  <c r="F5" i="8"/>
  <c r="E5" i="8"/>
  <c r="D5" i="8"/>
  <c r="C5" i="8"/>
  <c r="O4" i="8"/>
  <c r="M4" i="8"/>
  <c r="L4" i="8"/>
  <c r="K4" i="8"/>
  <c r="J4" i="8"/>
  <c r="I4" i="8"/>
  <c r="H4" i="8"/>
  <c r="G4" i="8"/>
  <c r="F4" i="8"/>
  <c r="E4" i="8"/>
  <c r="D4" i="8"/>
  <c r="C4" i="8"/>
  <c r="Z74" i="7"/>
  <c r="X74" i="7"/>
  <c r="W74" i="7"/>
  <c r="V74" i="7"/>
  <c r="U74" i="7"/>
  <c r="T74" i="7"/>
  <c r="S74" i="7"/>
  <c r="R74" i="7"/>
  <c r="Q74" i="7"/>
  <c r="P74" i="7"/>
  <c r="O74" i="7"/>
  <c r="N74" i="7"/>
  <c r="M74" i="7"/>
  <c r="L73" i="7"/>
  <c r="L72" i="7"/>
  <c r="Y71" i="7"/>
  <c r="L71" i="7"/>
  <c r="Y70" i="7"/>
  <c r="L70" i="7"/>
  <c r="Y69" i="7"/>
  <c r="L69" i="7"/>
  <c r="Y68" i="7"/>
  <c r="L68" i="7"/>
  <c r="Y67" i="7"/>
  <c r="L67" i="7"/>
  <c r="Y66" i="7"/>
  <c r="L66" i="7"/>
  <c r="Y65" i="7"/>
  <c r="L65" i="7"/>
  <c r="Y64" i="7"/>
  <c r="L64" i="7"/>
  <c r="Y63" i="7"/>
  <c r="L63" i="7"/>
  <c r="Y62" i="7"/>
  <c r="L62" i="7"/>
  <c r="Y61" i="7"/>
  <c r="L61" i="7"/>
  <c r="Y60" i="7"/>
  <c r="L60" i="7"/>
  <c r="Y59" i="7"/>
  <c r="L59" i="7"/>
  <c r="Y58" i="7"/>
  <c r="L58" i="7"/>
  <c r="Y57" i="7"/>
  <c r="L57" i="7"/>
  <c r="Y56" i="7"/>
  <c r="L56" i="7"/>
  <c r="Y55" i="7"/>
  <c r="L55" i="7"/>
  <c r="Y54" i="7"/>
  <c r="L54" i="7"/>
  <c r="Y53" i="7"/>
  <c r="L53" i="7"/>
  <c r="Y52" i="7"/>
  <c r="L52" i="7"/>
  <c r="Y51" i="7"/>
  <c r="L51" i="7"/>
  <c r="Y50" i="7"/>
  <c r="L50" i="7"/>
  <c r="Y49" i="7"/>
  <c r="L49" i="7"/>
  <c r="Y48" i="7"/>
  <c r="L48" i="7"/>
  <c r="Y47" i="7"/>
  <c r="L47" i="7"/>
  <c r="Y46" i="7"/>
  <c r="L46" i="7"/>
  <c r="Y45" i="7"/>
  <c r="L45" i="7"/>
  <c r="Y44" i="7"/>
  <c r="L44" i="7"/>
  <c r="Y43" i="7"/>
  <c r="L43" i="7"/>
  <c r="Y42" i="7"/>
  <c r="L42" i="7"/>
  <c r="Y41" i="7"/>
  <c r="L41" i="7"/>
  <c r="Y40" i="7"/>
  <c r="L40" i="7"/>
  <c r="Y39" i="7"/>
  <c r="L39" i="7"/>
  <c r="Y38" i="7"/>
  <c r="L38" i="7"/>
  <c r="Y37" i="7"/>
  <c r="L37" i="7"/>
  <c r="Y36" i="7"/>
  <c r="L36" i="7"/>
  <c r="Y35" i="7"/>
  <c r="L35" i="7"/>
  <c r="Y34" i="7"/>
  <c r="L34" i="7"/>
  <c r="Y33" i="7"/>
  <c r="L33" i="7"/>
  <c r="Y32" i="7"/>
  <c r="L32" i="7"/>
  <c r="Y31" i="7"/>
  <c r="L31" i="7"/>
  <c r="Y30" i="7"/>
  <c r="L30" i="7"/>
  <c r="Y29" i="7"/>
  <c r="L29" i="7"/>
  <c r="Y28" i="7"/>
  <c r="L28" i="7"/>
  <c r="Y27" i="7"/>
  <c r="L27" i="7"/>
  <c r="Y26" i="7"/>
  <c r="L26" i="7"/>
  <c r="Y25" i="7"/>
  <c r="L25" i="7"/>
  <c r="Y24" i="7"/>
  <c r="L24" i="7"/>
  <c r="Y23" i="7"/>
  <c r="L23" i="7"/>
  <c r="Y22" i="7"/>
  <c r="L22" i="7"/>
  <c r="Y21" i="7"/>
  <c r="L21" i="7"/>
  <c r="Y20" i="7"/>
  <c r="L20" i="7"/>
  <c r="Y19" i="7"/>
  <c r="L19" i="7"/>
  <c r="Y18" i="7"/>
  <c r="L18" i="7"/>
  <c r="Y17" i="7"/>
  <c r="L17" i="7"/>
  <c r="Y16" i="7"/>
  <c r="L16" i="7"/>
  <c r="Y15" i="7"/>
  <c r="L15" i="7"/>
  <c r="Y14" i="7"/>
  <c r="L14" i="7"/>
  <c r="Y13" i="7"/>
  <c r="L13" i="7"/>
  <c r="Y12" i="7"/>
  <c r="L12" i="7"/>
  <c r="Y11" i="7"/>
  <c r="L11" i="7"/>
  <c r="Y10" i="7"/>
  <c r="L10" i="7"/>
  <c r="Y9" i="7"/>
  <c r="L9" i="7"/>
  <c r="Y8" i="7"/>
  <c r="L8" i="7"/>
  <c r="Y7" i="7"/>
  <c r="L7" i="7"/>
  <c r="Y6" i="7"/>
  <c r="L6" i="7"/>
  <c r="Y5" i="7"/>
  <c r="L5" i="7"/>
  <c r="Y4" i="7"/>
  <c r="L4" i="7"/>
  <c r="Y3" i="7"/>
  <c r="L3" i="7"/>
  <c r="AA70" i="5"/>
  <c r="Z70" i="5"/>
  <c r="X70" i="5"/>
  <c r="W70" i="5"/>
  <c r="V70" i="5"/>
  <c r="U70" i="5"/>
  <c r="T70" i="5"/>
  <c r="S70" i="5"/>
  <c r="R70" i="5"/>
  <c r="Q70" i="5"/>
  <c r="P70" i="5"/>
  <c r="O70" i="5"/>
  <c r="N70" i="5"/>
  <c r="M70" i="5"/>
  <c r="L69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L59" i="5"/>
  <c r="Y58" i="5"/>
  <c r="L58" i="5"/>
  <c r="Y57" i="5"/>
  <c r="L57" i="5"/>
  <c r="Y56" i="5"/>
  <c r="L56" i="5"/>
  <c r="Y55" i="5"/>
  <c r="L55" i="5"/>
  <c r="Y54" i="5"/>
  <c r="L54" i="5"/>
  <c r="Y53" i="5"/>
  <c r="L53" i="5"/>
  <c r="Y52" i="5"/>
  <c r="L52" i="5"/>
  <c r="Y51" i="5"/>
  <c r="L51" i="5"/>
  <c r="Y50" i="5"/>
  <c r="L50" i="5"/>
  <c r="Y49" i="5"/>
  <c r="L49" i="5"/>
  <c r="Y48" i="5"/>
  <c r="L48" i="5"/>
  <c r="Y47" i="5"/>
  <c r="L47" i="5"/>
  <c r="Y46" i="5"/>
  <c r="L46" i="5"/>
  <c r="Y45" i="5"/>
  <c r="L45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L12" i="5"/>
  <c r="Y11" i="5"/>
  <c r="L11" i="5"/>
  <c r="Y10" i="5"/>
  <c r="L10" i="5"/>
  <c r="Y9" i="5"/>
  <c r="L9" i="5"/>
  <c r="Y8" i="5"/>
  <c r="L8" i="5"/>
  <c r="Y7" i="5"/>
  <c r="L7" i="5"/>
  <c r="Y6" i="5"/>
  <c r="L6" i="5"/>
  <c r="Y5" i="5"/>
  <c r="L5" i="5"/>
  <c r="Y4" i="5"/>
  <c r="L4" i="5"/>
  <c r="Y3" i="5"/>
  <c r="L3" i="5"/>
  <c r="A6" i="24"/>
  <c r="A5" i="24"/>
  <c r="A4" i="24"/>
  <c r="A3" i="24"/>
  <c r="A2" i="24"/>
  <c r="A1" i="24"/>
  <c r="AA211" i="2"/>
  <c r="X211" i="2"/>
  <c r="W211" i="2"/>
  <c r="V211" i="2"/>
  <c r="U211" i="2"/>
  <c r="T211" i="2"/>
  <c r="S211" i="2"/>
  <c r="R211" i="2"/>
  <c r="Q211" i="2"/>
  <c r="P211" i="2"/>
  <c r="O211" i="2"/>
  <c r="N211" i="2"/>
  <c r="Y210" i="2"/>
  <c r="Y202" i="2"/>
  <c r="L209" i="2"/>
  <c r="L208" i="2"/>
  <c r="Y207" i="2"/>
  <c r="L207" i="2"/>
  <c r="Y206" i="2"/>
  <c r="L206" i="2"/>
  <c r="Y205" i="2"/>
  <c r="L205" i="2"/>
  <c r="Y204" i="2"/>
  <c r="L204" i="2"/>
  <c r="Y203" i="2"/>
  <c r="L203" i="2"/>
  <c r="Y201" i="2"/>
  <c r="L201" i="2"/>
  <c r="Y200" i="2"/>
  <c r="L200" i="2"/>
  <c r="Y199" i="2"/>
  <c r="L199" i="2"/>
  <c r="Y198" i="2"/>
  <c r="L198" i="2"/>
  <c r="Y197" i="2"/>
  <c r="L197" i="2"/>
  <c r="Y196" i="2"/>
  <c r="L196" i="2"/>
  <c r="Y195" i="2"/>
  <c r="L195" i="2"/>
  <c r="Y194" i="2"/>
  <c r="L194" i="2"/>
  <c r="Y193" i="2"/>
  <c r="L193" i="2"/>
  <c r="Y192" i="2"/>
  <c r="L192" i="2"/>
  <c r="Y191" i="2"/>
  <c r="L191" i="2"/>
  <c r="Y190" i="2"/>
  <c r="L190" i="2"/>
  <c r="Y189" i="2"/>
  <c r="L189" i="2"/>
  <c r="Y188" i="2"/>
  <c r="L188" i="2"/>
  <c r="Y187" i="2"/>
  <c r="L187" i="2"/>
  <c r="Y186" i="2"/>
  <c r="L186" i="2"/>
  <c r="Y185" i="2"/>
  <c r="L185" i="2"/>
  <c r="Y184" i="2"/>
  <c r="L184" i="2"/>
  <c r="Y183" i="2"/>
  <c r="L183" i="2"/>
  <c r="Y182" i="2"/>
  <c r="L182" i="2"/>
  <c r="Y181" i="2"/>
  <c r="L181" i="2"/>
  <c r="Y180" i="2"/>
  <c r="L180" i="2"/>
  <c r="Y179" i="2"/>
  <c r="L179" i="2"/>
  <c r="Y178" i="2"/>
  <c r="L178" i="2"/>
  <c r="Y177" i="2"/>
  <c r="L177" i="2"/>
  <c r="Y176" i="2"/>
  <c r="L176" i="2"/>
  <c r="Y175" i="2"/>
  <c r="L175" i="2"/>
  <c r="Y174" i="2"/>
  <c r="L174" i="2"/>
  <c r="Y173" i="2"/>
  <c r="L173" i="2"/>
  <c r="Y172" i="2"/>
  <c r="L172" i="2"/>
  <c r="Y171" i="2"/>
  <c r="L171" i="2"/>
  <c r="Y170" i="2"/>
  <c r="L170" i="2"/>
  <c r="Y169" i="2"/>
  <c r="L169" i="2"/>
  <c r="Y168" i="2"/>
  <c r="L168" i="2"/>
  <c r="Y167" i="2"/>
  <c r="L167" i="2"/>
  <c r="Y166" i="2"/>
  <c r="L166" i="2"/>
  <c r="Y165" i="2"/>
  <c r="L165" i="2"/>
  <c r="Y164" i="2"/>
  <c r="L164" i="2"/>
  <c r="Y163" i="2"/>
  <c r="L163" i="2"/>
  <c r="Y162" i="2"/>
  <c r="L162" i="2"/>
  <c r="Y161" i="2"/>
  <c r="L161" i="2"/>
  <c r="Y160" i="2"/>
  <c r="L160" i="2"/>
  <c r="Y159" i="2"/>
  <c r="L159" i="2"/>
  <c r="Y158" i="2"/>
  <c r="L158" i="2"/>
  <c r="Y157" i="2"/>
  <c r="L157" i="2"/>
  <c r="Y156" i="2"/>
  <c r="L156" i="2"/>
  <c r="Y155" i="2"/>
  <c r="L155" i="2"/>
  <c r="Y154" i="2"/>
  <c r="L154" i="2"/>
  <c r="Y153" i="2"/>
  <c r="L153" i="2"/>
  <c r="Y152" i="2"/>
  <c r="L152" i="2"/>
  <c r="Y151" i="2"/>
  <c r="L151" i="2"/>
  <c r="Y150" i="2"/>
  <c r="L150" i="2"/>
  <c r="Y149" i="2"/>
  <c r="L149" i="2"/>
  <c r="Y148" i="2"/>
  <c r="L148" i="2"/>
  <c r="Y147" i="2"/>
  <c r="L147" i="2"/>
  <c r="Y146" i="2"/>
  <c r="L146" i="2"/>
  <c r="Y145" i="2"/>
  <c r="L145" i="2"/>
  <c r="Y144" i="2"/>
  <c r="L144" i="2"/>
  <c r="Y143" i="2"/>
  <c r="L143" i="2"/>
  <c r="Y142" i="2"/>
  <c r="L142" i="2"/>
  <c r="Y141" i="2"/>
  <c r="L141" i="2"/>
  <c r="Y140" i="2"/>
  <c r="L140" i="2"/>
  <c r="Y139" i="2"/>
  <c r="L139" i="2"/>
  <c r="Y138" i="2"/>
  <c r="L138" i="2"/>
  <c r="Y137" i="2"/>
  <c r="L137" i="2"/>
  <c r="Y136" i="2"/>
  <c r="L136" i="2"/>
  <c r="Y135" i="2"/>
  <c r="L135" i="2"/>
  <c r="Y134" i="2"/>
  <c r="L134" i="2"/>
  <c r="Y133" i="2"/>
  <c r="L133" i="2"/>
  <c r="Y132" i="2"/>
  <c r="L132" i="2"/>
  <c r="Y131" i="2"/>
  <c r="L131" i="2"/>
  <c r="Y130" i="2"/>
  <c r="L130" i="2"/>
  <c r="Y129" i="2"/>
  <c r="L129" i="2"/>
  <c r="Y128" i="2"/>
  <c r="L128" i="2"/>
  <c r="Y127" i="2"/>
  <c r="L127" i="2"/>
  <c r="Y126" i="2"/>
  <c r="L126" i="2"/>
  <c r="Y125" i="2"/>
  <c r="L125" i="2"/>
  <c r="Y124" i="2"/>
  <c r="L124" i="2"/>
  <c r="Y123" i="2"/>
  <c r="L123" i="2"/>
  <c r="Y122" i="2"/>
  <c r="L122" i="2"/>
  <c r="Y121" i="2"/>
  <c r="L121" i="2"/>
  <c r="Y120" i="2"/>
  <c r="L120" i="2"/>
  <c r="Y119" i="2"/>
  <c r="L119" i="2"/>
  <c r="Y118" i="2"/>
  <c r="L118" i="2"/>
  <c r="Y117" i="2"/>
  <c r="L117" i="2"/>
  <c r="Y116" i="2"/>
  <c r="L116" i="2"/>
  <c r="Y115" i="2"/>
  <c r="L115" i="2"/>
  <c r="Y114" i="2"/>
  <c r="L114" i="2"/>
  <c r="Y113" i="2"/>
  <c r="L113" i="2"/>
  <c r="Y112" i="2"/>
  <c r="L112" i="2"/>
  <c r="Y111" i="2"/>
  <c r="L111" i="2"/>
  <c r="Y110" i="2"/>
  <c r="L110" i="2"/>
  <c r="Y109" i="2"/>
  <c r="L109" i="2"/>
  <c r="Y108" i="2"/>
  <c r="L108" i="2"/>
  <c r="Y107" i="2"/>
  <c r="L107" i="2"/>
  <c r="Y106" i="2"/>
  <c r="L106" i="2"/>
  <c r="Y105" i="2"/>
  <c r="L105" i="2"/>
  <c r="Y104" i="2"/>
  <c r="L104" i="2"/>
  <c r="Y103" i="2"/>
  <c r="L103" i="2"/>
  <c r="Y102" i="2"/>
  <c r="L102" i="2"/>
  <c r="Y101" i="2"/>
  <c r="L101" i="2"/>
  <c r="Y100" i="2"/>
  <c r="L100" i="2"/>
  <c r="Y99" i="2"/>
  <c r="L99" i="2"/>
  <c r="Y98" i="2"/>
  <c r="L98" i="2"/>
  <c r="Y97" i="2"/>
  <c r="L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S20" i="3"/>
  <c r="T23" i="13" s="1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L59" i="2"/>
  <c r="Y58" i="2"/>
  <c r="L58" i="2"/>
  <c r="Y57" i="2"/>
  <c r="L57" i="2"/>
  <c r="Y56" i="2"/>
  <c r="L56" i="2"/>
  <c r="Y55" i="2"/>
  <c r="L55" i="2"/>
  <c r="Y54" i="2"/>
  <c r="L54" i="2"/>
  <c r="Y53" i="2"/>
  <c r="L53" i="2"/>
  <c r="Y52" i="2"/>
  <c r="L52" i="2"/>
  <c r="Y51" i="2"/>
  <c r="L51" i="2"/>
  <c r="Y50" i="2"/>
  <c r="L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L12" i="2"/>
  <c r="Y11" i="2"/>
  <c r="L11" i="2"/>
  <c r="Y10" i="2"/>
  <c r="L10" i="2"/>
  <c r="Y9" i="2"/>
  <c r="L9" i="2"/>
  <c r="Y8" i="2"/>
  <c r="L8" i="2"/>
  <c r="Y7" i="2"/>
  <c r="L7" i="2"/>
  <c r="Y6" i="2"/>
  <c r="L6" i="2"/>
  <c r="Y5" i="2"/>
  <c r="L5" i="2"/>
  <c r="Y4" i="2"/>
  <c r="L4" i="2"/>
  <c r="Y3" i="2"/>
  <c r="L3" i="2"/>
  <c r="M43" i="23"/>
  <c r="M39" i="23"/>
  <c r="L39" i="23"/>
  <c r="K39" i="23"/>
  <c r="I39" i="23"/>
  <c r="H39" i="23"/>
  <c r="F39" i="23"/>
  <c r="E39" i="23"/>
  <c r="C39" i="23"/>
  <c r="M38" i="23"/>
  <c r="L38" i="23"/>
  <c r="K38" i="23"/>
  <c r="I38" i="23"/>
  <c r="H38" i="23"/>
  <c r="F38" i="23"/>
  <c r="E38" i="23"/>
  <c r="C38" i="23"/>
  <c r="M37" i="23"/>
  <c r="L37" i="23"/>
  <c r="K37" i="23"/>
  <c r="I37" i="23"/>
  <c r="H37" i="23"/>
  <c r="F37" i="23"/>
  <c r="E37" i="23"/>
  <c r="C37" i="23"/>
  <c r="M36" i="23"/>
  <c r="L36" i="23"/>
  <c r="K36" i="23"/>
  <c r="I36" i="23"/>
  <c r="H36" i="23"/>
  <c r="F36" i="23"/>
  <c r="E36" i="23"/>
  <c r="C36" i="23"/>
  <c r="M35" i="23"/>
  <c r="L35" i="23"/>
  <c r="K35" i="23"/>
  <c r="I35" i="23"/>
  <c r="H35" i="23"/>
  <c r="F35" i="23"/>
  <c r="E35" i="23"/>
  <c r="C35" i="23"/>
  <c r="M34" i="23"/>
  <c r="L34" i="23"/>
  <c r="K34" i="23"/>
  <c r="I34" i="23"/>
  <c r="H34" i="23"/>
  <c r="F34" i="23"/>
  <c r="E34" i="23"/>
  <c r="C34" i="23"/>
  <c r="M33" i="23"/>
  <c r="L33" i="23"/>
  <c r="K33" i="23"/>
  <c r="I33" i="23"/>
  <c r="H33" i="23"/>
  <c r="F33" i="23"/>
  <c r="E33" i="23"/>
  <c r="C33" i="23"/>
  <c r="M32" i="23"/>
  <c r="L32" i="23"/>
  <c r="K32" i="23"/>
  <c r="I32" i="23"/>
  <c r="H32" i="23"/>
  <c r="F32" i="23"/>
  <c r="E32" i="23"/>
  <c r="C32" i="23"/>
  <c r="M31" i="23"/>
  <c r="L31" i="23"/>
  <c r="K31" i="23"/>
  <c r="I31" i="23"/>
  <c r="H31" i="23"/>
  <c r="F31" i="23"/>
  <c r="E31" i="23"/>
  <c r="C31" i="23"/>
  <c r="Q30" i="23"/>
  <c r="M27" i="23"/>
  <c r="L27" i="23"/>
  <c r="K27" i="23"/>
  <c r="I27" i="23"/>
  <c r="H27" i="23"/>
  <c r="F27" i="23"/>
  <c r="E27" i="23"/>
  <c r="C27" i="23"/>
  <c r="M26" i="23"/>
  <c r="L26" i="23"/>
  <c r="K26" i="23"/>
  <c r="H26" i="23"/>
  <c r="E26" i="23"/>
  <c r="M25" i="23"/>
  <c r="L25" i="23"/>
  <c r="K25" i="23"/>
  <c r="H25" i="23"/>
  <c r="E25" i="23"/>
  <c r="M24" i="23"/>
  <c r="L24" i="23"/>
  <c r="K24" i="23"/>
  <c r="H24" i="23"/>
  <c r="E24" i="23"/>
  <c r="M23" i="23"/>
  <c r="L23" i="23"/>
  <c r="K23" i="23"/>
  <c r="H23" i="23"/>
  <c r="E23" i="23"/>
  <c r="M22" i="23"/>
  <c r="L22" i="23"/>
  <c r="K22" i="23"/>
  <c r="H22" i="23"/>
  <c r="E22" i="23"/>
  <c r="M21" i="23"/>
  <c r="L21" i="23"/>
  <c r="K21" i="23"/>
  <c r="H21" i="23"/>
  <c r="E21" i="23"/>
  <c r="M20" i="23"/>
  <c r="L20" i="23"/>
  <c r="K20" i="23"/>
  <c r="H20" i="23"/>
  <c r="E20" i="23"/>
  <c r="M19" i="23"/>
  <c r="L19" i="23"/>
  <c r="K19" i="23"/>
  <c r="H19" i="23"/>
  <c r="E19" i="23"/>
  <c r="M14" i="23"/>
  <c r="L14" i="23"/>
  <c r="K14" i="23"/>
  <c r="I14" i="23"/>
  <c r="H14" i="23"/>
  <c r="F14" i="23"/>
  <c r="E14" i="23"/>
  <c r="C14" i="23"/>
  <c r="M13" i="23"/>
  <c r="L13" i="23"/>
  <c r="K13" i="23"/>
  <c r="H13" i="23"/>
  <c r="E13" i="23"/>
  <c r="M12" i="23"/>
  <c r="L12" i="23"/>
  <c r="K12" i="23"/>
  <c r="H12" i="23"/>
  <c r="E12" i="23"/>
  <c r="M11" i="23"/>
  <c r="L11" i="23"/>
  <c r="K11" i="23"/>
  <c r="H11" i="23"/>
  <c r="E11" i="23"/>
  <c r="M10" i="23"/>
  <c r="L10" i="23"/>
  <c r="K10" i="23"/>
  <c r="H10" i="23"/>
  <c r="E10" i="23"/>
  <c r="M9" i="23"/>
  <c r="L9" i="23"/>
  <c r="K9" i="23"/>
  <c r="H9" i="23"/>
  <c r="E9" i="23"/>
  <c r="M8" i="23"/>
  <c r="L8" i="23"/>
  <c r="K8" i="23"/>
  <c r="H8" i="23"/>
  <c r="E8" i="23"/>
  <c r="M7" i="23"/>
  <c r="L7" i="23"/>
  <c r="K7" i="23"/>
  <c r="H7" i="23"/>
  <c r="E7" i="23"/>
  <c r="M6" i="23"/>
  <c r="L6" i="23"/>
  <c r="K6" i="23"/>
  <c r="H6" i="23"/>
  <c r="E6" i="23"/>
  <c r="E16" i="22"/>
  <c r="D16" i="22"/>
  <c r="C16" i="22"/>
  <c r="F15" i="22"/>
  <c r="F14" i="22"/>
  <c r="F13" i="22"/>
  <c r="H13" i="22" s="1"/>
  <c r="H12" i="22"/>
  <c r="I12" i="22" s="1"/>
  <c r="F12" i="22"/>
  <c r="F11" i="22"/>
  <c r="F10" i="22"/>
  <c r="F9" i="22"/>
  <c r="H9" i="22" s="1"/>
  <c r="I9" i="22" s="1"/>
  <c r="F8" i="22"/>
  <c r="F7" i="22"/>
  <c r="H7" i="22" s="1"/>
  <c r="F6" i="22"/>
  <c r="H6" i="22" s="1"/>
  <c r="T58" i="12"/>
  <c r="T57" i="12"/>
  <c r="T56" i="12"/>
  <c r="T55" i="12"/>
  <c r="Q55" i="12"/>
  <c r="H55" i="12"/>
  <c r="G55" i="12"/>
  <c r="T54" i="12"/>
  <c r="T53" i="12"/>
  <c r="C53" i="12"/>
  <c r="T52" i="12"/>
  <c r="H52" i="12"/>
  <c r="T51" i="12"/>
  <c r="Q51" i="12"/>
  <c r="K51" i="12"/>
  <c r="C51" i="12"/>
  <c r="T50" i="12"/>
  <c r="T49" i="12"/>
  <c r="K49" i="12"/>
  <c r="G49" i="12"/>
  <c r="C49" i="12"/>
  <c r="T48" i="12"/>
  <c r="Q48" i="12"/>
  <c r="N48" i="12"/>
  <c r="D48" i="12"/>
  <c r="T47" i="12"/>
  <c r="Q47" i="12"/>
  <c r="H47" i="12"/>
  <c r="G47" i="12"/>
  <c r="T46" i="12"/>
  <c r="Q46" i="12"/>
  <c r="T45" i="12"/>
  <c r="Q45" i="12"/>
  <c r="J45" i="12"/>
  <c r="H45" i="12"/>
  <c r="G45" i="12"/>
  <c r="T44" i="12"/>
  <c r="Q44" i="12"/>
  <c r="K44" i="12"/>
  <c r="J44" i="12"/>
  <c r="C44" i="12"/>
  <c r="T43" i="12"/>
  <c r="Q43" i="12"/>
  <c r="C43" i="12"/>
  <c r="T42" i="12"/>
  <c r="J42" i="12"/>
  <c r="F42" i="12"/>
  <c r="T41" i="12"/>
  <c r="K41" i="12"/>
  <c r="G41" i="12"/>
  <c r="C41" i="12"/>
  <c r="T40" i="12"/>
  <c r="Q40" i="12"/>
  <c r="T39" i="12"/>
  <c r="Q39" i="12"/>
  <c r="H39" i="12"/>
  <c r="T38" i="12"/>
  <c r="Q38" i="12"/>
  <c r="F38" i="12"/>
  <c r="C38" i="12"/>
  <c r="T37" i="12"/>
  <c r="Q37" i="12"/>
  <c r="K37" i="12"/>
  <c r="J37" i="12"/>
  <c r="C37" i="12"/>
  <c r="T36" i="12"/>
  <c r="Q36" i="12"/>
  <c r="J36" i="12"/>
  <c r="H36" i="12"/>
  <c r="R26" i="12"/>
  <c r="N26" i="12"/>
  <c r="N55" i="12" s="1"/>
  <c r="M26" i="12"/>
  <c r="L26" i="12"/>
  <c r="K26" i="12"/>
  <c r="J26" i="12"/>
  <c r="I26" i="12"/>
  <c r="H26" i="12"/>
  <c r="G26" i="12"/>
  <c r="F26" i="12"/>
  <c r="E26" i="12"/>
  <c r="D26" i="12"/>
  <c r="C26" i="12"/>
  <c r="H23" i="12"/>
  <c r="G23" i="12"/>
  <c r="G52" i="12" s="1"/>
  <c r="Q21" i="12"/>
  <c r="Q50" i="12" s="1"/>
  <c r="P21" i="12"/>
  <c r="I21" i="12"/>
  <c r="H21" i="12"/>
  <c r="H50" i="12" s="1"/>
  <c r="G21" i="12"/>
  <c r="G50" i="12" s="1"/>
  <c r="R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R19" i="12"/>
  <c r="N19" i="12"/>
  <c r="M19" i="12"/>
  <c r="L19" i="12"/>
  <c r="K19" i="12"/>
  <c r="J19" i="12"/>
  <c r="I19" i="12"/>
  <c r="H19" i="12"/>
  <c r="H48" i="12" s="1"/>
  <c r="G19" i="12"/>
  <c r="F19" i="12"/>
  <c r="E19" i="12"/>
  <c r="D19" i="12"/>
  <c r="C19" i="12"/>
  <c r="W18" i="12"/>
  <c r="U18" i="12"/>
  <c r="R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W17" i="12"/>
  <c r="R17" i="12"/>
  <c r="N17" i="12"/>
  <c r="V17" i="12" s="1"/>
  <c r="M17" i="12"/>
  <c r="L17" i="12"/>
  <c r="K17" i="12"/>
  <c r="J17" i="12"/>
  <c r="J46" i="12" s="1"/>
  <c r="I17" i="12"/>
  <c r="H17" i="12"/>
  <c r="G17" i="12"/>
  <c r="G46" i="12" s="1"/>
  <c r="F17" i="12"/>
  <c r="F46" i="12" s="1"/>
  <c r="E17" i="12"/>
  <c r="D17" i="12"/>
  <c r="C17" i="12"/>
  <c r="R16" i="12"/>
  <c r="N16" i="12"/>
  <c r="M16" i="12"/>
  <c r="L16" i="12"/>
  <c r="K16" i="12"/>
  <c r="K45" i="12" s="1"/>
  <c r="J16" i="12"/>
  <c r="I16" i="12"/>
  <c r="H16" i="12"/>
  <c r="G16" i="12"/>
  <c r="F16" i="12"/>
  <c r="E16" i="12"/>
  <c r="D16" i="12"/>
  <c r="C16" i="12"/>
  <c r="O16" i="12" s="1"/>
  <c r="U15" i="12"/>
  <c r="R15" i="12"/>
  <c r="N15" i="12"/>
  <c r="M15" i="12"/>
  <c r="L15" i="12"/>
  <c r="K15" i="12"/>
  <c r="J15" i="12"/>
  <c r="I15" i="12"/>
  <c r="H15" i="12"/>
  <c r="H44" i="12" s="1"/>
  <c r="G15" i="12"/>
  <c r="F15" i="12"/>
  <c r="E15" i="12"/>
  <c r="D15" i="12"/>
  <c r="C15" i="12"/>
  <c r="V14" i="12"/>
  <c r="U14" i="12"/>
  <c r="R14" i="12"/>
  <c r="W14" i="12" s="1"/>
  <c r="N14" i="12"/>
  <c r="M14" i="12"/>
  <c r="L14" i="12"/>
  <c r="K14" i="12"/>
  <c r="J14" i="12"/>
  <c r="I14" i="12"/>
  <c r="H14" i="12"/>
  <c r="G14" i="12"/>
  <c r="F14" i="12"/>
  <c r="E14" i="12"/>
  <c r="D14" i="12"/>
  <c r="C14" i="12"/>
  <c r="W13" i="12"/>
  <c r="R13" i="12"/>
  <c r="V13" i="12" s="1"/>
  <c r="N13" i="12"/>
  <c r="N42" i="12" s="1"/>
  <c r="M13" i="12"/>
  <c r="L13" i="12"/>
  <c r="K13" i="12"/>
  <c r="K42" i="12" s="1"/>
  <c r="J13" i="12"/>
  <c r="I13" i="12"/>
  <c r="H13" i="12"/>
  <c r="G13" i="12"/>
  <c r="F13" i="12"/>
  <c r="E13" i="12"/>
  <c r="D13" i="12"/>
  <c r="C13" i="12"/>
  <c r="R12" i="12"/>
  <c r="V12" i="12" s="1"/>
  <c r="N12" i="12"/>
  <c r="M12" i="12"/>
  <c r="L12" i="12"/>
  <c r="K12" i="12"/>
  <c r="J12" i="12"/>
  <c r="I12" i="12"/>
  <c r="H12" i="12"/>
  <c r="G12" i="12"/>
  <c r="F12" i="12"/>
  <c r="E12" i="12"/>
  <c r="D12" i="12"/>
  <c r="C12" i="12"/>
  <c r="R11" i="12"/>
  <c r="W11" i="12" s="1"/>
  <c r="N11" i="12"/>
  <c r="M11" i="12"/>
  <c r="L11" i="12"/>
  <c r="K11" i="12"/>
  <c r="J11" i="12"/>
  <c r="I11" i="12"/>
  <c r="H11" i="12"/>
  <c r="H40" i="12" s="1"/>
  <c r="G11" i="12"/>
  <c r="F11" i="12"/>
  <c r="E11" i="12"/>
  <c r="D11" i="12"/>
  <c r="C11" i="12"/>
  <c r="Q9" i="12"/>
  <c r="Q57" i="12" s="1"/>
  <c r="P9" i="12"/>
  <c r="P36" i="12" s="1"/>
  <c r="N9" i="12"/>
  <c r="K9" i="12"/>
  <c r="H9" i="12"/>
  <c r="H51" i="12" s="1"/>
  <c r="G9" i="12"/>
  <c r="G51" i="12" s="1"/>
  <c r="F9" i="12"/>
  <c r="D9" i="12"/>
  <c r="C9" i="12"/>
  <c r="C39" i="12" s="1"/>
  <c r="R8" i="12"/>
  <c r="N8" i="12"/>
  <c r="M8" i="12"/>
  <c r="L8" i="12"/>
  <c r="K8" i="12"/>
  <c r="J8" i="12"/>
  <c r="I8" i="12"/>
  <c r="H8" i="12"/>
  <c r="H37" i="12" s="1"/>
  <c r="G8" i="12"/>
  <c r="G37" i="12" s="1"/>
  <c r="F8" i="12"/>
  <c r="E8" i="12"/>
  <c r="D8" i="12"/>
  <c r="C8" i="12"/>
  <c r="R7" i="12"/>
  <c r="N7" i="12"/>
  <c r="M7" i="12"/>
  <c r="L7" i="12"/>
  <c r="K7" i="12"/>
  <c r="J7" i="12"/>
  <c r="J9" i="12" s="1"/>
  <c r="J38" i="12" s="1"/>
  <c r="I7" i="12"/>
  <c r="H7" i="12"/>
  <c r="G7" i="12"/>
  <c r="F7" i="12"/>
  <c r="E7" i="12"/>
  <c r="D7" i="12"/>
  <c r="C7" i="12"/>
  <c r="T85" i="11"/>
  <c r="T84" i="11"/>
  <c r="P84" i="11"/>
  <c r="T83" i="11"/>
  <c r="Q83" i="11"/>
  <c r="P83" i="11"/>
  <c r="T82" i="11"/>
  <c r="Q82" i="11"/>
  <c r="P82" i="11"/>
  <c r="T81" i="11"/>
  <c r="Q81" i="11"/>
  <c r="P81" i="11"/>
  <c r="T80" i="11"/>
  <c r="Q80" i="11"/>
  <c r="P80" i="11"/>
  <c r="T79" i="11"/>
  <c r="Q79" i="11"/>
  <c r="P79" i="11"/>
  <c r="T78" i="11"/>
  <c r="Q78" i="11"/>
  <c r="P78" i="11"/>
  <c r="T77" i="11"/>
  <c r="Q77" i="11"/>
  <c r="P77" i="11"/>
  <c r="T76" i="11"/>
  <c r="Q76" i="11"/>
  <c r="P76" i="11"/>
  <c r="T75" i="11"/>
  <c r="Q75" i="11"/>
  <c r="P75" i="11"/>
  <c r="T74" i="11"/>
  <c r="Q74" i="11"/>
  <c r="P74" i="11"/>
  <c r="T73" i="11"/>
  <c r="Q73" i="11"/>
  <c r="P73" i="11"/>
  <c r="T72" i="11"/>
  <c r="Q72" i="11"/>
  <c r="P72" i="11"/>
  <c r="T71" i="11"/>
  <c r="Q71" i="11"/>
  <c r="P71" i="11"/>
  <c r="T70" i="11"/>
  <c r="Q70" i="11"/>
  <c r="P70" i="11"/>
  <c r="T69" i="11"/>
  <c r="Q69" i="11"/>
  <c r="P69" i="11"/>
  <c r="T68" i="11"/>
  <c r="Q68" i="11"/>
  <c r="P68" i="11"/>
  <c r="T67" i="11"/>
  <c r="Q67" i="11"/>
  <c r="P67" i="11"/>
  <c r="T66" i="11"/>
  <c r="Q66" i="11"/>
  <c r="P66" i="11"/>
  <c r="T65" i="11"/>
  <c r="Q65" i="11"/>
  <c r="P65" i="11"/>
  <c r="T64" i="11"/>
  <c r="Q64" i="11"/>
  <c r="P64" i="11"/>
  <c r="T63" i="11"/>
  <c r="Q63" i="11"/>
  <c r="P63" i="11"/>
  <c r="T62" i="11"/>
  <c r="Q62" i="11"/>
  <c r="P62" i="11"/>
  <c r="T61" i="11"/>
  <c r="Q61" i="11"/>
  <c r="P61" i="11"/>
  <c r="T60" i="11"/>
  <c r="Q60" i="11"/>
  <c r="P60" i="11"/>
  <c r="T59" i="11"/>
  <c r="Q59" i="11"/>
  <c r="P59" i="11"/>
  <c r="T58" i="11"/>
  <c r="Q58" i="11"/>
  <c r="P58" i="11"/>
  <c r="T57" i="11"/>
  <c r="Q57" i="11"/>
  <c r="P57" i="11"/>
  <c r="T56" i="11"/>
  <c r="Q56" i="11"/>
  <c r="P56" i="11"/>
  <c r="T55" i="11"/>
  <c r="Q55" i="11"/>
  <c r="P55" i="11"/>
  <c r="T54" i="11"/>
  <c r="Q54" i="11"/>
  <c r="P54" i="11"/>
  <c r="T53" i="11"/>
  <c r="Q53" i="11"/>
  <c r="P53" i="11"/>
  <c r="T52" i="11"/>
  <c r="Q52" i="11"/>
  <c r="P52" i="11"/>
  <c r="T51" i="11"/>
  <c r="Q51" i="11"/>
  <c r="P51" i="11"/>
  <c r="Q40" i="11"/>
  <c r="P40" i="11"/>
  <c r="P41" i="11" s="1"/>
  <c r="P85" i="11" s="1"/>
  <c r="Q39" i="11"/>
  <c r="P39" i="11"/>
  <c r="R38" i="11"/>
  <c r="W38" i="11" s="1"/>
  <c r="N38" i="11"/>
  <c r="M38" i="11"/>
  <c r="L38" i="11"/>
  <c r="K38" i="11"/>
  <c r="J38" i="11"/>
  <c r="I38" i="11"/>
  <c r="H38" i="11"/>
  <c r="G38" i="11"/>
  <c r="F38" i="11"/>
  <c r="E38" i="11"/>
  <c r="D38" i="11"/>
  <c r="C38" i="11"/>
  <c r="Q37" i="11"/>
  <c r="P37" i="11"/>
  <c r="Q35" i="11"/>
  <c r="P35" i="11"/>
  <c r="W34" i="11"/>
  <c r="V34" i="11"/>
  <c r="U34" i="11"/>
  <c r="Q33" i="11"/>
  <c r="P33" i="11"/>
  <c r="R32" i="11"/>
  <c r="W32" i="11" s="1"/>
  <c r="N32" i="11"/>
  <c r="M32" i="11"/>
  <c r="L32" i="11"/>
  <c r="K32" i="11"/>
  <c r="J32" i="11"/>
  <c r="I32" i="11"/>
  <c r="H32" i="11"/>
  <c r="G32" i="11"/>
  <c r="F32" i="11"/>
  <c r="E32" i="11"/>
  <c r="D32" i="11"/>
  <c r="C32" i="11"/>
  <c r="R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R30" i="11"/>
  <c r="W30" i="11" s="1"/>
  <c r="N30" i="11"/>
  <c r="M30" i="11"/>
  <c r="L30" i="11"/>
  <c r="K30" i="11"/>
  <c r="J30" i="11"/>
  <c r="I30" i="11"/>
  <c r="H30" i="11"/>
  <c r="G30" i="11"/>
  <c r="F30" i="11"/>
  <c r="E30" i="11"/>
  <c r="D30" i="11"/>
  <c r="C30" i="11"/>
  <c r="R29" i="11"/>
  <c r="W29" i="11" s="1"/>
  <c r="N29" i="11"/>
  <c r="M29" i="11"/>
  <c r="L29" i="11"/>
  <c r="K29" i="11"/>
  <c r="J29" i="11"/>
  <c r="I29" i="11"/>
  <c r="H29" i="11"/>
  <c r="G29" i="11"/>
  <c r="F29" i="11"/>
  <c r="E29" i="11"/>
  <c r="D29" i="11"/>
  <c r="C29" i="11"/>
  <c r="R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R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R26" i="11"/>
  <c r="W26" i="11" s="1"/>
  <c r="N26" i="11"/>
  <c r="M26" i="11"/>
  <c r="L26" i="11"/>
  <c r="K26" i="11"/>
  <c r="J26" i="11"/>
  <c r="I26" i="11"/>
  <c r="H26" i="11"/>
  <c r="G26" i="11"/>
  <c r="F26" i="11"/>
  <c r="E26" i="11"/>
  <c r="D26" i="11"/>
  <c r="C26" i="11"/>
  <c r="R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R24" i="11"/>
  <c r="W24" i="11" s="1"/>
  <c r="N24" i="11"/>
  <c r="M24" i="11"/>
  <c r="L24" i="11"/>
  <c r="K24" i="11"/>
  <c r="J24" i="11"/>
  <c r="I24" i="11"/>
  <c r="H24" i="11"/>
  <c r="G24" i="11"/>
  <c r="F24" i="11"/>
  <c r="E24" i="11"/>
  <c r="D24" i="11"/>
  <c r="C24" i="11"/>
  <c r="R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R22" i="11"/>
  <c r="W22" i="11" s="1"/>
  <c r="N22" i="11"/>
  <c r="M22" i="11"/>
  <c r="L22" i="11"/>
  <c r="K22" i="11"/>
  <c r="J22" i="11"/>
  <c r="I22" i="11"/>
  <c r="H22" i="11"/>
  <c r="G22" i="11"/>
  <c r="F22" i="11"/>
  <c r="E22" i="11"/>
  <c r="D22" i="11"/>
  <c r="C22" i="11"/>
  <c r="R21" i="11"/>
  <c r="W21" i="11" s="1"/>
  <c r="N21" i="11"/>
  <c r="M21" i="11"/>
  <c r="L21" i="11"/>
  <c r="K21" i="11"/>
  <c r="J21" i="11"/>
  <c r="I21" i="11"/>
  <c r="H21" i="11"/>
  <c r="G21" i="11"/>
  <c r="F21" i="11"/>
  <c r="E21" i="11"/>
  <c r="D21" i="11"/>
  <c r="C21" i="11"/>
  <c r="R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R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R18" i="11"/>
  <c r="W18" i="11" s="1"/>
  <c r="N18" i="11"/>
  <c r="M18" i="11"/>
  <c r="L18" i="11"/>
  <c r="K18" i="11"/>
  <c r="J18" i="11"/>
  <c r="I18" i="11"/>
  <c r="H18" i="11"/>
  <c r="G18" i="11"/>
  <c r="F18" i="11"/>
  <c r="E18" i="11"/>
  <c r="D18" i="11"/>
  <c r="C18" i="11"/>
  <c r="R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R16" i="11"/>
  <c r="U16" i="11" s="1"/>
  <c r="N16" i="11"/>
  <c r="M16" i="11"/>
  <c r="L16" i="11"/>
  <c r="K16" i="11"/>
  <c r="J16" i="11"/>
  <c r="I16" i="11"/>
  <c r="H16" i="11"/>
  <c r="G16" i="11"/>
  <c r="F16" i="11"/>
  <c r="E16" i="11"/>
  <c r="D16" i="11"/>
  <c r="C16" i="11"/>
  <c r="R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R14" i="11"/>
  <c r="W14" i="11" s="1"/>
  <c r="N14" i="11"/>
  <c r="M14" i="11"/>
  <c r="L14" i="11"/>
  <c r="K14" i="11"/>
  <c r="J14" i="11"/>
  <c r="I14" i="11"/>
  <c r="H14" i="11"/>
  <c r="G14" i="11"/>
  <c r="F14" i="11"/>
  <c r="E14" i="11"/>
  <c r="D14" i="11"/>
  <c r="C14" i="11"/>
  <c r="R13" i="11"/>
  <c r="W13" i="11" s="1"/>
  <c r="N13" i="11"/>
  <c r="M13" i="11"/>
  <c r="L13" i="11"/>
  <c r="K13" i="11"/>
  <c r="J13" i="11"/>
  <c r="I13" i="11"/>
  <c r="H13" i="11"/>
  <c r="G13" i="11"/>
  <c r="F13" i="11"/>
  <c r="E13" i="11"/>
  <c r="D13" i="11"/>
  <c r="C13" i="11"/>
  <c r="W12" i="11"/>
  <c r="V12" i="11"/>
  <c r="U12" i="11"/>
  <c r="Q11" i="11"/>
  <c r="P11" i="11"/>
  <c r="R10" i="11"/>
  <c r="W10" i="11" s="1"/>
  <c r="N10" i="11"/>
  <c r="M10" i="11"/>
  <c r="L10" i="11"/>
  <c r="K10" i="11"/>
  <c r="J10" i="11"/>
  <c r="I10" i="11"/>
  <c r="H10" i="11"/>
  <c r="G10" i="11"/>
  <c r="F10" i="11"/>
  <c r="E10" i="11"/>
  <c r="D10" i="11"/>
  <c r="C10" i="11"/>
  <c r="Q9" i="11"/>
  <c r="P9" i="11"/>
  <c r="R8" i="11"/>
  <c r="N8" i="11"/>
  <c r="M8" i="11"/>
  <c r="L8" i="11"/>
  <c r="K8" i="11"/>
  <c r="J8" i="11"/>
  <c r="I8" i="11"/>
  <c r="H8" i="11"/>
  <c r="G8" i="11"/>
  <c r="F8" i="11"/>
  <c r="E8" i="11"/>
  <c r="D8" i="11"/>
  <c r="C8" i="11"/>
  <c r="R7" i="11"/>
  <c r="W7" i="11" s="1"/>
  <c r="N7" i="11"/>
  <c r="M7" i="11"/>
  <c r="L7" i="11"/>
  <c r="K7" i="11"/>
  <c r="J7" i="11"/>
  <c r="I7" i="11"/>
  <c r="H7" i="11"/>
  <c r="G7" i="11"/>
  <c r="F7" i="11"/>
  <c r="F9" i="11" s="1"/>
  <c r="F11" i="11" s="1"/>
  <c r="E7" i="11"/>
  <c r="D7" i="11"/>
  <c r="C7" i="11"/>
  <c r="Q92" i="3"/>
  <c r="Q91" i="3"/>
  <c r="T90" i="3"/>
  <c r="Q90" i="3"/>
  <c r="T89" i="3"/>
  <c r="Q89" i="3"/>
  <c r="T88" i="3"/>
  <c r="Q88" i="3"/>
  <c r="T87" i="3"/>
  <c r="Q87" i="3"/>
  <c r="T86" i="3"/>
  <c r="Q86" i="3"/>
  <c r="T85" i="3"/>
  <c r="Q85" i="3"/>
  <c r="T84" i="3"/>
  <c r="Q84" i="3"/>
  <c r="T83" i="3"/>
  <c r="Q83" i="3"/>
  <c r="P83" i="3"/>
  <c r="T82" i="3"/>
  <c r="Q82" i="3"/>
  <c r="T81" i="3"/>
  <c r="Q81" i="3"/>
  <c r="T80" i="3"/>
  <c r="Q80" i="3"/>
  <c r="T79" i="3"/>
  <c r="Q79" i="3"/>
  <c r="T78" i="3"/>
  <c r="Q78" i="3"/>
  <c r="T77" i="3"/>
  <c r="Q77" i="3"/>
  <c r="T76" i="3"/>
  <c r="Q76" i="3"/>
  <c r="T75" i="3"/>
  <c r="Q75" i="3"/>
  <c r="T74" i="3"/>
  <c r="Q74" i="3"/>
  <c r="T73" i="3"/>
  <c r="Q73" i="3"/>
  <c r="T72" i="3"/>
  <c r="Q72" i="3"/>
  <c r="T71" i="3"/>
  <c r="Q71" i="3"/>
  <c r="T70" i="3"/>
  <c r="Q70" i="3"/>
  <c r="T69" i="3"/>
  <c r="Q69" i="3"/>
  <c r="T68" i="3"/>
  <c r="Q68" i="3"/>
  <c r="T67" i="3"/>
  <c r="Q67" i="3"/>
  <c r="T66" i="3"/>
  <c r="Q66" i="3"/>
  <c r="T65" i="3"/>
  <c r="Q65" i="3"/>
  <c r="T64" i="3"/>
  <c r="Q64" i="3"/>
  <c r="T63" i="3"/>
  <c r="Q63" i="3"/>
  <c r="T62" i="3"/>
  <c r="Q62" i="3"/>
  <c r="T61" i="3"/>
  <c r="Q61" i="3"/>
  <c r="T60" i="3"/>
  <c r="Q60" i="3"/>
  <c r="T59" i="3"/>
  <c r="Q59" i="3"/>
  <c r="P59" i="3"/>
  <c r="T58" i="3"/>
  <c r="Q58" i="3"/>
  <c r="T57" i="3"/>
  <c r="Q57" i="3"/>
  <c r="T56" i="3"/>
  <c r="Q56" i="3"/>
  <c r="P56" i="3"/>
  <c r="T55" i="3"/>
  <c r="Q55" i="3"/>
  <c r="T54" i="3"/>
  <c r="Q54" i="3"/>
  <c r="T44" i="3"/>
  <c r="T45" i="3" s="1"/>
  <c r="T92" i="3" s="1"/>
  <c r="T43" i="3"/>
  <c r="R42" i="3"/>
  <c r="N42" i="3"/>
  <c r="M42" i="3"/>
  <c r="L42" i="3"/>
  <c r="K42" i="3"/>
  <c r="J42" i="3"/>
  <c r="I42" i="3"/>
  <c r="H42" i="3"/>
  <c r="G42" i="3"/>
  <c r="F42" i="3"/>
  <c r="E42" i="3"/>
  <c r="D42" i="3"/>
  <c r="C42" i="3"/>
  <c r="T41" i="3"/>
  <c r="T39" i="3"/>
  <c r="W38" i="3"/>
  <c r="V38" i="3"/>
  <c r="U38" i="3"/>
  <c r="P38" i="3"/>
  <c r="T37" i="3"/>
  <c r="P37" i="3"/>
  <c r="R36" i="3"/>
  <c r="W36" i="3" s="1"/>
  <c r="N36" i="3"/>
  <c r="M36" i="3"/>
  <c r="L36" i="3"/>
  <c r="K36" i="3"/>
  <c r="J36" i="3"/>
  <c r="I36" i="3"/>
  <c r="H36" i="3"/>
  <c r="G36" i="3"/>
  <c r="F36" i="3"/>
  <c r="E36" i="3"/>
  <c r="D36" i="3"/>
  <c r="C36" i="3"/>
  <c r="R35" i="3"/>
  <c r="W35" i="3" s="1"/>
  <c r="N35" i="3"/>
  <c r="M35" i="3"/>
  <c r="L35" i="3"/>
  <c r="K35" i="3"/>
  <c r="J35" i="3"/>
  <c r="I35" i="3"/>
  <c r="H35" i="3"/>
  <c r="G35" i="3"/>
  <c r="F35" i="3"/>
  <c r="E35" i="3"/>
  <c r="D35" i="3"/>
  <c r="C35" i="3"/>
  <c r="R34" i="3"/>
  <c r="W34" i="3" s="1"/>
  <c r="N34" i="3"/>
  <c r="M34" i="3"/>
  <c r="L34" i="3"/>
  <c r="K34" i="3"/>
  <c r="J34" i="3"/>
  <c r="I34" i="3"/>
  <c r="H34" i="3"/>
  <c r="G34" i="3"/>
  <c r="F34" i="3"/>
  <c r="E34" i="3"/>
  <c r="D34" i="3"/>
  <c r="C34" i="3"/>
  <c r="R33" i="3"/>
  <c r="N33" i="3"/>
  <c r="M33" i="3"/>
  <c r="L33" i="3"/>
  <c r="K33" i="3"/>
  <c r="J33" i="3"/>
  <c r="I33" i="3"/>
  <c r="H33" i="3"/>
  <c r="G33" i="3"/>
  <c r="F33" i="3"/>
  <c r="E33" i="3"/>
  <c r="D33" i="3"/>
  <c r="C33" i="3"/>
  <c r="R32" i="3"/>
  <c r="W32" i="3" s="1"/>
  <c r="N32" i="3"/>
  <c r="M32" i="3"/>
  <c r="L32" i="3"/>
  <c r="K32" i="3"/>
  <c r="J32" i="3"/>
  <c r="I32" i="3"/>
  <c r="H32" i="3"/>
  <c r="G32" i="3"/>
  <c r="F32" i="3"/>
  <c r="E32" i="3"/>
  <c r="D32" i="3"/>
  <c r="C32" i="3"/>
  <c r="R31" i="3"/>
  <c r="W31" i="3" s="1"/>
  <c r="M31" i="3"/>
  <c r="L31" i="3"/>
  <c r="K31" i="3"/>
  <c r="J31" i="3"/>
  <c r="I31" i="3"/>
  <c r="H31" i="3"/>
  <c r="G31" i="3"/>
  <c r="F31" i="3"/>
  <c r="E31" i="3"/>
  <c r="D31" i="3"/>
  <c r="R30" i="3"/>
  <c r="N30" i="3"/>
  <c r="M30" i="3"/>
  <c r="L30" i="3"/>
  <c r="K30" i="3"/>
  <c r="J30" i="3"/>
  <c r="I30" i="3"/>
  <c r="H30" i="3"/>
  <c r="G30" i="3"/>
  <c r="F30" i="3"/>
  <c r="E30" i="3"/>
  <c r="D30" i="3"/>
  <c r="C30" i="3"/>
  <c r="R29" i="3"/>
  <c r="N29" i="3"/>
  <c r="M29" i="3"/>
  <c r="L29" i="3"/>
  <c r="K29" i="3"/>
  <c r="J29" i="3"/>
  <c r="I29" i="3"/>
  <c r="H29" i="3"/>
  <c r="G29" i="3"/>
  <c r="F29" i="3"/>
  <c r="E29" i="3"/>
  <c r="D29" i="3"/>
  <c r="C29" i="3"/>
  <c r="R28" i="3"/>
  <c r="N28" i="3"/>
  <c r="M28" i="3"/>
  <c r="L28" i="3"/>
  <c r="K28" i="3"/>
  <c r="J28" i="3"/>
  <c r="I28" i="3"/>
  <c r="H28" i="3"/>
  <c r="G28" i="3"/>
  <c r="F28" i="3"/>
  <c r="E28" i="3"/>
  <c r="D28" i="3"/>
  <c r="C28" i="3"/>
  <c r="R27" i="3"/>
  <c r="W27" i="3" s="1"/>
  <c r="N27" i="3"/>
  <c r="M27" i="3"/>
  <c r="L27" i="3"/>
  <c r="K27" i="3"/>
  <c r="J27" i="3"/>
  <c r="I27" i="3"/>
  <c r="H27" i="3"/>
  <c r="G27" i="3"/>
  <c r="F27" i="3"/>
  <c r="E27" i="3"/>
  <c r="D27" i="3"/>
  <c r="C27" i="3"/>
  <c r="R26" i="3"/>
  <c r="N26" i="3"/>
  <c r="M26" i="3"/>
  <c r="L26" i="3"/>
  <c r="K26" i="3"/>
  <c r="J26" i="3"/>
  <c r="I26" i="3"/>
  <c r="H26" i="3"/>
  <c r="G26" i="3"/>
  <c r="F26" i="3"/>
  <c r="E26" i="3"/>
  <c r="D26" i="3"/>
  <c r="C26" i="3"/>
  <c r="R25" i="3"/>
  <c r="W25" i="3" s="1"/>
  <c r="N25" i="3"/>
  <c r="M25" i="3"/>
  <c r="L25" i="3"/>
  <c r="K25" i="3"/>
  <c r="J25" i="3"/>
  <c r="I25" i="3"/>
  <c r="H25" i="3"/>
  <c r="G25" i="3"/>
  <c r="F25" i="3"/>
  <c r="E25" i="3"/>
  <c r="D25" i="3"/>
  <c r="C25" i="3"/>
  <c r="R24" i="3"/>
  <c r="N24" i="3"/>
  <c r="M24" i="3"/>
  <c r="L24" i="3"/>
  <c r="K24" i="3"/>
  <c r="J24" i="3"/>
  <c r="I24" i="3"/>
  <c r="H24" i="3"/>
  <c r="G24" i="3"/>
  <c r="F24" i="3"/>
  <c r="E24" i="3"/>
  <c r="D24" i="3"/>
  <c r="C24" i="3"/>
  <c r="R23" i="3"/>
  <c r="N23" i="3"/>
  <c r="M23" i="3"/>
  <c r="L23" i="3"/>
  <c r="K23" i="3"/>
  <c r="J23" i="3"/>
  <c r="I23" i="3"/>
  <c r="H23" i="3"/>
  <c r="G23" i="3"/>
  <c r="F23" i="3"/>
  <c r="E23" i="3"/>
  <c r="D23" i="3"/>
  <c r="C23" i="3"/>
  <c r="R22" i="3"/>
  <c r="N22" i="3"/>
  <c r="M22" i="3"/>
  <c r="L22" i="3"/>
  <c r="K22" i="3"/>
  <c r="J22" i="3"/>
  <c r="I22" i="3"/>
  <c r="H22" i="3"/>
  <c r="G22" i="3"/>
  <c r="F22" i="3"/>
  <c r="E22" i="3"/>
  <c r="D22" i="3"/>
  <c r="C22" i="3"/>
  <c r="R21" i="3"/>
  <c r="W21" i="3" s="1"/>
  <c r="N21" i="3"/>
  <c r="M21" i="3"/>
  <c r="L21" i="3"/>
  <c r="K21" i="3"/>
  <c r="J21" i="3"/>
  <c r="I21" i="3"/>
  <c r="H21" i="3"/>
  <c r="G21" i="3"/>
  <c r="F21" i="3"/>
  <c r="E21" i="3"/>
  <c r="D21" i="3"/>
  <c r="C21" i="3"/>
  <c r="R20" i="3"/>
  <c r="N20" i="3"/>
  <c r="M20" i="3"/>
  <c r="L20" i="3"/>
  <c r="K20" i="3"/>
  <c r="J20" i="3"/>
  <c r="I20" i="3"/>
  <c r="H20" i="3"/>
  <c r="G20" i="3"/>
  <c r="F20" i="3"/>
  <c r="E20" i="3"/>
  <c r="D20" i="3"/>
  <c r="C20" i="3"/>
  <c r="R19" i="3"/>
  <c r="N19" i="3"/>
  <c r="M19" i="3"/>
  <c r="L19" i="3"/>
  <c r="K19" i="3"/>
  <c r="J19" i="3"/>
  <c r="I19" i="3"/>
  <c r="H19" i="3"/>
  <c r="G19" i="3"/>
  <c r="F19" i="3"/>
  <c r="E19" i="3"/>
  <c r="D19" i="3"/>
  <c r="C19" i="3"/>
  <c r="R18" i="3"/>
  <c r="N18" i="3"/>
  <c r="M18" i="3"/>
  <c r="L18" i="3"/>
  <c r="K18" i="3"/>
  <c r="J18" i="3"/>
  <c r="I18" i="3"/>
  <c r="H18" i="3"/>
  <c r="G18" i="3"/>
  <c r="F18" i="3"/>
  <c r="E18" i="3"/>
  <c r="D18" i="3"/>
  <c r="C18" i="3"/>
  <c r="R17" i="3"/>
  <c r="W17" i="3" s="1"/>
  <c r="N17" i="3"/>
  <c r="M17" i="3"/>
  <c r="L17" i="3"/>
  <c r="K17" i="3"/>
  <c r="J17" i="3"/>
  <c r="I17" i="3"/>
  <c r="H17" i="3"/>
  <c r="G17" i="3"/>
  <c r="F17" i="3"/>
  <c r="E17" i="3"/>
  <c r="D17" i="3"/>
  <c r="C17" i="3"/>
  <c r="W16" i="3"/>
  <c r="V16" i="3"/>
  <c r="U16" i="3"/>
  <c r="P16" i="3"/>
  <c r="T15" i="3"/>
  <c r="P15" i="3"/>
  <c r="P82" i="3" s="1"/>
  <c r="R14" i="3"/>
  <c r="W14" i="3" s="1"/>
  <c r="N14" i="3"/>
  <c r="M14" i="3"/>
  <c r="L14" i="3"/>
  <c r="K14" i="3"/>
  <c r="J14" i="3"/>
  <c r="I14" i="3"/>
  <c r="H14" i="3"/>
  <c r="G14" i="3"/>
  <c r="F14" i="3"/>
  <c r="E14" i="3"/>
  <c r="D14" i="3"/>
  <c r="C14" i="3"/>
  <c r="T13" i="3"/>
  <c r="P13" i="3"/>
  <c r="R12" i="3"/>
  <c r="W12" i="3" s="1"/>
  <c r="N12" i="3"/>
  <c r="M12" i="3"/>
  <c r="L12" i="3"/>
  <c r="K12" i="3"/>
  <c r="J12" i="3"/>
  <c r="I12" i="3"/>
  <c r="H12" i="3"/>
  <c r="G12" i="3"/>
  <c r="F12" i="3"/>
  <c r="E12" i="3"/>
  <c r="D12" i="3"/>
  <c r="C12" i="3"/>
  <c r="S11" i="3"/>
  <c r="R11" i="3"/>
  <c r="N11" i="3"/>
  <c r="M11" i="3"/>
  <c r="L11" i="3"/>
  <c r="K11" i="3"/>
  <c r="J11" i="3"/>
  <c r="I11" i="3"/>
  <c r="H11" i="3"/>
  <c r="G11" i="3"/>
  <c r="F11" i="3"/>
  <c r="E11" i="3"/>
  <c r="D11" i="3"/>
  <c r="C11" i="3"/>
  <c r="R10" i="3"/>
  <c r="W10" i="3" s="1"/>
  <c r="N10" i="3"/>
  <c r="M10" i="3"/>
  <c r="L10" i="3"/>
  <c r="K10" i="3"/>
  <c r="J10" i="3"/>
  <c r="I10" i="3"/>
  <c r="H10" i="3"/>
  <c r="G10" i="3"/>
  <c r="F10" i="3"/>
  <c r="E10" i="3"/>
  <c r="D10" i="3"/>
  <c r="C10" i="3"/>
  <c r="R9" i="3"/>
  <c r="N9" i="3"/>
  <c r="M9" i="3"/>
  <c r="L9" i="3"/>
  <c r="K9" i="3"/>
  <c r="J9" i="3"/>
  <c r="I9" i="3"/>
  <c r="H9" i="3"/>
  <c r="G9" i="3"/>
  <c r="F9" i="3"/>
  <c r="E9" i="3"/>
  <c r="D9" i="3"/>
  <c r="C9" i="3"/>
  <c r="R8" i="3"/>
  <c r="N8" i="3"/>
  <c r="M8" i="3"/>
  <c r="L8" i="3"/>
  <c r="K8" i="3"/>
  <c r="J8" i="3"/>
  <c r="I8" i="3"/>
  <c r="H8" i="3"/>
  <c r="G8" i="3"/>
  <c r="F8" i="3"/>
  <c r="E8" i="3"/>
  <c r="D8" i="3"/>
  <c r="C8" i="3"/>
  <c r="R7" i="3"/>
  <c r="N7" i="3"/>
  <c r="M7" i="3"/>
  <c r="L7" i="3"/>
  <c r="K7" i="3"/>
  <c r="J7" i="3"/>
  <c r="I7" i="3"/>
  <c r="H7" i="3"/>
  <c r="G7" i="3"/>
  <c r="F7" i="3"/>
  <c r="E7" i="3"/>
  <c r="D7" i="3"/>
  <c r="C7" i="3"/>
  <c r="Q91" i="13"/>
  <c r="Q85" i="13"/>
  <c r="Q80" i="13"/>
  <c r="Q77" i="13"/>
  <c r="Q72" i="13"/>
  <c r="Q69" i="13"/>
  <c r="Q63" i="13"/>
  <c r="Q60" i="13"/>
  <c r="Q39" i="13"/>
  <c r="Q88" i="13" s="1"/>
  <c r="X38" i="13"/>
  <c r="W38" i="13"/>
  <c r="V38" i="13"/>
  <c r="U37" i="13"/>
  <c r="R37" i="13"/>
  <c r="Q37" i="13"/>
  <c r="S32" i="13"/>
  <c r="X32" i="13" s="1"/>
  <c r="X16" i="13"/>
  <c r="W16" i="13"/>
  <c r="V16" i="13"/>
  <c r="Q15" i="13"/>
  <c r="Q76" i="13" s="1"/>
  <c r="U13" i="13"/>
  <c r="U15" i="13" s="1"/>
  <c r="R13" i="13"/>
  <c r="Q13" i="13"/>
  <c r="K12" i="13"/>
  <c r="I6" i="22" l="1"/>
  <c r="H15" i="22"/>
  <c r="I15" i="22" s="1"/>
  <c r="H8" i="22"/>
  <c r="I8" i="22" s="1"/>
  <c r="I13" i="22"/>
  <c r="I7" i="22"/>
  <c r="H10" i="22"/>
  <c r="I10" i="22" s="1"/>
  <c r="H11" i="22"/>
  <c r="I11" i="22" s="1"/>
  <c r="H14" i="22"/>
  <c r="I14" i="22" s="1"/>
  <c r="F16" i="22"/>
  <c r="U70" i="13"/>
  <c r="U61" i="13"/>
  <c r="U75" i="13"/>
  <c r="U58" i="13"/>
  <c r="U63" i="13"/>
  <c r="U91" i="13"/>
  <c r="U77" i="13"/>
  <c r="U60" i="13"/>
  <c r="U82" i="13"/>
  <c r="U74" i="13"/>
  <c r="U66" i="13"/>
  <c r="U57" i="13"/>
  <c r="U62" i="13"/>
  <c r="U84" i="13"/>
  <c r="U76" i="13"/>
  <c r="U68" i="13"/>
  <c r="U59" i="13"/>
  <c r="U87" i="13"/>
  <c r="U81" i="13"/>
  <c r="U73" i="13"/>
  <c r="U64" i="13"/>
  <c r="U56" i="13"/>
  <c r="U78" i="13"/>
  <c r="U89" i="13"/>
  <c r="U83" i="13"/>
  <c r="U67" i="13"/>
  <c r="U80" i="13"/>
  <c r="U72" i="13"/>
  <c r="U85" i="13"/>
  <c r="U69" i="13"/>
  <c r="U39" i="13"/>
  <c r="U93" i="13"/>
  <c r="U79" i="13"/>
  <c r="U71" i="13"/>
  <c r="U86" i="13"/>
  <c r="T91" i="3"/>
  <c r="Q58" i="13"/>
  <c r="Q75" i="13"/>
  <c r="Q89" i="13"/>
  <c r="R15" i="13"/>
  <c r="Q41" i="13"/>
  <c r="Q61" i="13"/>
  <c r="Q78" i="13"/>
  <c r="Q56" i="13"/>
  <c r="Q73" i="13"/>
  <c r="Q68" i="13"/>
  <c r="Q84" i="13"/>
  <c r="Q62" i="13"/>
  <c r="Q64" i="13" s="1"/>
  <c r="Q71" i="13"/>
  <c r="Q79" i="13"/>
  <c r="Q93" i="13"/>
  <c r="Q57" i="13"/>
  <c r="Q66" i="13"/>
  <c r="Q74" i="13"/>
  <c r="Q82" i="13"/>
  <c r="Y74" i="7"/>
  <c r="Q67" i="13"/>
  <c r="Q83" i="13"/>
  <c r="Q70" i="13"/>
  <c r="Q81" i="13"/>
  <c r="Q59" i="13"/>
  <c r="M9" i="12"/>
  <c r="O20" i="12"/>
  <c r="D49" i="12"/>
  <c r="D41" i="12"/>
  <c r="O12" i="12"/>
  <c r="D45" i="12"/>
  <c r="F51" i="12"/>
  <c r="F41" i="12"/>
  <c r="F39" i="12"/>
  <c r="F48" i="12"/>
  <c r="K21" i="12"/>
  <c r="L44" i="12"/>
  <c r="D55" i="12"/>
  <c r="O26" i="12"/>
  <c r="O8" i="12"/>
  <c r="D37" i="12"/>
  <c r="L9" i="12"/>
  <c r="L37" i="12"/>
  <c r="L21" i="12"/>
  <c r="L50" i="12" s="1"/>
  <c r="L40" i="12"/>
  <c r="C21" i="12"/>
  <c r="M55" i="12"/>
  <c r="F55" i="12"/>
  <c r="E37" i="12"/>
  <c r="E21" i="12"/>
  <c r="M21" i="12"/>
  <c r="O14" i="12"/>
  <c r="M47" i="12"/>
  <c r="F21" i="12"/>
  <c r="F50" i="12" s="1"/>
  <c r="D46" i="12"/>
  <c r="O17" i="12"/>
  <c r="F47" i="12"/>
  <c r="V18" i="12"/>
  <c r="N47" i="12"/>
  <c r="F49" i="12"/>
  <c r="O7" i="12"/>
  <c r="C45" i="12"/>
  <c r="D39" i="12"/>
  <c r="D38" i="12"/>
  <c r="D23" i="12"/>
  <c r="D52" i="12" s="1"/>
  <c r="D51" i="12"/>
  <c r="D43" i="12"/>
  <c r="P51" i="12"/>
  <c r="P43" i="12"/>
  <c r="P53" i="12"/>
  <c r="P42" i="12"/>
  <c r="P49" i="12"/>
  <c r="P41" i="12"/>
  <c r="P45" i="12"/>
  <c r="P47" i="12"/>
  <c r="P39" i="12"/>
  <c r="P37" i="12"/>
  <c r="P44" i="12"/>
  <c r="P48" i="12"/>
  <c r="P46" i="12"/>
  <c r="E9" i="12"/>
  <c r="E44" i="12" s="1"/>
  <c r="J43" i="12"/>
  <c r="J21" i="12"/>
  <c r="J50" i="12" s="1"/>
  <c r="P50" i="12"/>
  <c r="D36" i="12"/>
  <c r="E12" i="13" s="1"/>
  <c r="V12" i="13" s="1"/>
  <c r="D44" i="12"/>
  <c r="O15" i="12"/>
  <c r="L48" i="12"/>
  <c r="L55" i="12"/>
  <c r="E36" i="12"/>
  <c r="F12" i="13" s="1"/>
  <c r="P38" i="12"/>
  <c r="D40" i="12"/>
  <c r="D21" i="12"/>
  <c r="D50" i="12" s="1"/>
  <c r="D47" i="12"/>
  <c r="M37" i="12"/>
  <c r="C42" i="12"/>
  <c r="O13" i="12"/>
  <c r="E47" i="12"/>
  <c r="F40" i="12"/>
  <c r="N53" i="12"/>
  <c r="N51" i="12"/>
  <c r="N40" i="12"/>
  <c r="N38" i="12"/>
  <c r="N49" i="12"/>
  <c r="N41" i="12"/>
  <c r="N39" i="12"/>
  <c r="M46" i="12"/>
  <c r="P23" i="12"/>
  <c r="P40" i="12"/>
  <c r="D42" i="12"/>
  <c r="N46" i="12"/>
  <c r="P55" i="12"/>
  <c r="F36" i="12"/>
  <c r="G12" i="13" s="1"/>
  <c r="N36" i="12"/>
  <c r="N37" i="12"/>
  <c r="M44" i="12"/>
  <c r="F45" i="12"/>
  <c r="R48" i="12"/>
  <c r="G38" i="12"/>
  <c r="G36" i="12"/>
  <c r="H12" i="13" s="1"/>
  <c r="U11" i="12"/>
  <c r="H41" i="12"/>
  <c r="G42" i="12"/>
  <c r="F43" i="12"/>
  <c r="F44" i="12"/>
  <c r="U19" i="12"/>
  <c r="H49" i="12"/>
  <c r="R49" i="12"/>
  <c r="W26" i="12"/>
  <c r="V26" i="12"/>
  <c r="R55" i="12"/>
  <c r="H38" i="12"/>
  <c r="E43" i="12"/>
  <c r="G48" i="12"/>
  <c r="I12" i="13"/>
  <c r="R9" i="12"/>
  <c r="R37" i="12" s="1"/>
  <c r="W7" i="12"/>
  <c r="W8" i="12"/>
  <c r="V8" i="12"/>
  <c r="K39" i="12"/>
  <c r="K38" i="12"/>
  <c r="I40" i="12"/>
  <c r="V11" i="12"/>
  <c r="U12" i="12"/>
  <c r="H42" i="12"/>
  <c r="G43" i="12"/>
  <c r="G44" i="12"/>
  <c r="V16" i="12"/>
  <c r="U16" i="12"/>
  <c r="I48" i="12"/>
  <c r="V19" i="12"/>
  <c r="U20" i="12"/>
  <c r="U26" i="12"/>
  <c r="K36" i="12"/>
  <c r="L12" i="13" s="1"/>
  <c r="H46" i="12"/>
  <c r="O12" i="13"/>
  <c r="I9" i="12"/>
  <c r="I49" i="12" s="1"/>
  <c r="U7" i="12"/>
  <c r="U8" i="12"/>
  <c r="J40" i="12"/>
  <c r="J41" i="12"/>
  <c r="I42" i="12"/>
  <c r="U13" i="12"/>
  <c r="H43" i="12"/>
  <c r="W15" i="12"/>
  <c r="V15" i="12"/>
  <c r="W16" i="12"/>
  <c r="J47" i="12"/>
  <c r="J48" i="12"/>
  <c r="W19" i="12"/>
  <c r="J49" i="12"/>
  <c r="V20" i="12"/>
  <c r="R44" i="12"/>
  <c r="F37" i="12"/>
  <c r="N45" i="12"/>
  <c r="R21" i="12"/>
  <c r="G40" i="12"/>
  <c r="R41" i="12"/>
  <c r="N43" i="12"/>
  <c r="N44" i="12"/>
  <c r="J55" i="12"/>
  <c r="J39" i="12"/>
  <c r="V7" i="12"/>
  <c r="C40" i="12"/>
  <c r="O11" i="12"/>
  <c r="K40" i="12"/>
  <c r="W12" i="12"/>
  <c r="U17" i="12"/>
  <c r="C46" i="12"/>
  <c r="K46" i="12"/>
  <c r="C47" i="12"/>
  <c r="O18" i="12"/>
  <c r="K47" i="12"/>
  <c r="C48" i="12"/>
  <c r="O19" i="12"/>
  <c r="K48" i="12"/>
  <c r="W20" i="12"/>
  <c r="N21" i="12"/>
  <c r="N50" i="12" s="1"/>
  <c r="C55" i="12"/>
  <c r="K55" i="12"/>
  <c r="C36" i="12"/>
  <c r="D12" i="13" s="1"/>
  <c r="G39" i="12"/>
  <c r="K43" i="12"/>
  <c r="J51" i="12"/>
  <c r="Q23" i="12"/>
  <c r="Q41" i="12"/>
  <c r="Q49" i="12"/>
  <c r="Q42" i="12"/>
  <c r="Q53" i="12"/>
  <c r="V33" i="3"/>
  <c r="U27" i="11"/>
  <c r="U25" i="11"/>
  <c r="U19" i="11"/>
  <c r="V21" i="11"/>
  <c r="T32" i="13"/>
  <c r="I9" i="11"/>
  <c r="I11" i="11" s="1"/>
  <c r="I78" i="11" s="1"/>
  <c r="Y70" i="5"/>
  <c r="H33" i="11"/>
  <c r="S8" i="11"/>
  <c r="U17" i="11"/>
  <c r="D9" i="11"/>
  <c r="D11" i="11" s="1"/>
  <c r="L9" i="11"/>
  <c r="G33" i="11"/>
  <c r="J74" i="11"/>
  <c r="F60" i="11"/>
  <c r="F75" i="11"/>
  <c r="U7" i="11"/>
  <c r="O10" i="11"/>
  <c r="V17" i="11"/>
  <c r="V18" i="11"/>
  <c r="V25" i="11"/>
  <c r="V26" i="11"/>
  <c r="L11" i="11"/>
  <c r="L63" i="11" s="1"/>
  <c r="F61" i="11"/>
  <c r="G9" i="11"/>
  <c r="G11" i="11" s="1"/>
  <c r="F33" i="11"/>
  <c r="F77" i="11" s="1"/>
  <c r="U18" i="11"/>
  <c r="F65" i="11"/>
  <c r="U26" i="11"/>
  <c r="O28" i="11"/>
  <c r="S7" i="11"/>
  <c r="W17" i="11"/>
  <c r="J62" i="11"/>
  <c r="W25" i="11"/>
  <c r="J9" i="11"/>
  <c r="J11" i="11" s="1"/>
  <c r="J58" i="11" s="1"/>
  <c r="U10" i="11"/>
  <c r="W16" i="11"/>
  <c r="V38" i="11"/>
  <c r="C33" i="11"/>
  <c r="V14" i="11"/>
  <c r="F66" i="11"/>
  <c r="V30" i="11"/>
  <c r="J82" i="11"/>
  <c r="J53" i="11"/>
  <c r="O15" i="11"/>
  <c r="O23" i="11"/>
  <c r="O31" i="11"/>
  <c r="V13" i="11"/>
  <c r="M33" i="11"/>
  <c r="F56" i="11"/>
  <c r="F55" i="11"/>
  <c r="F78" i="11"/>
  <c r="F67" i="11"/>
  <c r="F68" i="11"/>
  <c r="F52" i="11"/>
  <c r="F73" i="11"/>
  <c r="O38" i="11"/>
  <c r="U38" i="11"/>
  <c r="V10" i="11"/>
  <c r="J73" i="11"/>
  <c r="O19" i="11"/>
  <c r="O30" i="11"/>
  <c r="U30" i="11"/>
  <c r="F53" i="11"/>
  <c r="F54" i="11"/>
  <c r="J55" i="11"/>
  <c r="F59" i="11"/>
  <c r="J33" i="11"/>
  <c r="O17" i="11"/>
  <c r="J65" i="11"/>
  <c r="O25" i="11"/>
  <c r="Q84" i="11"/>
  <c r="Q41" i="11"/>
  <c r="Q85" i="11" s="1"/>
  <c r="J71" i="11"/>
  <c r="H9" i="11"/>
  <c r="O14" i="11"/>
  <c r="U14" i="11"/>
  <c r="O22" i="11"/>
  <c r="U22" i="11"/>
  <c r="F51" i="11"/>
  <c r="N9" i="11"/>
  <c r="V7" i="11"/>
  <c r="O13" i="11"/>
  <c r="K33" i="11"/>
  <c r="O18" i="11"/>
  <c r="O21" i="11"/>
  <c r="U23" i="11"/>
  <c r="O26" i="11"/>
  <c r="O29" i="11"/>
  <c r="U31" i="11"/>
  <c r="F70" i="11"/>
  <c r="F76" i="11"/>
  <c r="F82" i="11"/>
  <c r="E33" i="11"/>
  <c r="F57" i="11"/>
  <c r="O20" i="11"/>
  <c r="V29" i="11"/>
  <c r="N33" i="11"/>
  <c r="O27" i="11"/>
  <c r="O7" i="11"/>
  <c r="W8" i="11"/>
  <c r="V8" i="11"/>
  <c r="U8" i="11"/>
  <c r="R9" i="11"/>
  <c r="D33" i="11"/>
  <c r="L33" i="11"/>
  <c r="F58" i="11"/>
  <c r="O16" i="11"/>
  <c r="F62" i="11"/>
  <c r="V22" i="11"/>
  <c r="O24" i="11"/>
  <c r="F74" i="11"/>
  <c r="O32" i="11"/>
  <c r="F69" i="11"/>
  <c r="F64" i="11"/>
  <c r="U13" i="11"/>
  <c r="F63" i="11"/>
  <c r="U21" i="11"/>
  <c r="F71" i="11"/>
  <c r="U29" i="11"/>
  <c r="I33" i="11"/>
  <c r="F72" i="11"/>
  <c r="R33" i="11"/>
  <c r="O8" i="11"/>
  <c r="V15" i="11"/>
  <c r="V20" i="11"/>
  <c r="U20" i="11"/>
  <c r="V23" i="11"/>
  <c r="U24" i="11"/>
  <c r="V28" i="11"/>
  <c r="U28" i="11"/>
  <c r="V31" i="11"/>
  <c r="U32" i="11"/>
  <c r="J52" i="11"/>
  <c r="K9" i="11"/>
  <c r="U15" i="11"/>
  <c r="E9" i="11"/>
  <c r="M9" i="11"/>
  <c r="C9" i="11"/>
  <c r="W15" i="11"/>
  <c r="J60" i="11"/>
  <c r="V16" i="11"/>
  <c r="W19" i="11"/>
  <c r="V19" i="11"/>
  <c r="W20" i="11"/>
  <c r="W23" i="11"/>
  <c r="J68" i="11"/>
  <c r="V24" i="11"/>
  <c r="W27" i="11"/>
  <c r="V27" i="11"/>
  <c r="W28" i="11"/>
  <c r="W31" i="11"/>
  <c r="V32" i="11"/>
  <c r="P64" i="3"/>
  <c r="S12" i="3"/>
  <c r="P80" i="3"/>
  <c r="P69" i="3"/>
  <c r="O31" i="3"/>
  <c r="P67" i="3"/>
  <c r="P77" i="3"/>
  <c r="P91" i="3"/>
  <c r="P61" i="3"/>
  <c r="P75" i="3"/>
  <c r="P85" i="3"/>
  <c r="M211" i="2"/>
  <c r="P72" i="3"/>
  <c r="U31" i="3"/>
  <c r="P54" i="3"/>
  <c r="P62" i="3"/>
  <c r="P70" i="3"/>
  <c r="P78" i="3"/>
  <c r="V31" i="3"/>
  <c r="P57" i="3"/>
  <c r="P65" i="3"/>
  <c r="P73" i="3"/>
  <c r="P81" i="3"/>
  <c r="P89" i="3"/>
  <c r="P39" i="3"/>
  <c r="P60" i="3"/>
  <c r="P68" i="3"/>
  <c r="P76" i="3"/>
  <c r="P84" i="3"/>
  <c r="P55" i="3"/>
  <c r="P63" i="3"/>
  <c r="P71" i="3"/>
  <c r="P79" i="3"/>
  <c r="P87" i="3"/>
  <c r="P58" i="3"/>
  <c r="P66" i="3"/>
  <c r="P74" i="3"/>
  <c r="U26" i="3"/>
  <c r="U36" i="3"/>
  <c r="S42" i="3"/>
  <c r="T42" i="13" s="1"/>
  <c r="S22" i="3"/>
  <c r="T24" i="13" s="1"/>
  <c r="V19" i="3"/>
  <c r="S18" i="3"/>
  <c r="T18" i="13" s="1"/>
  <c r="S23" i="3"/>
  <c r="T21" i="13" s="1"/>
  <c r="U7" i="3"/>
  <c r="U18" i="3"/>
  <c r="V21" i="3"/>
  <c r="S34" i="3"/>
  <c r="T34" i="13" s="1"/>
  <c r="V23" i="3"/>
  <c r="S29" i="3"/>
  <c r="T30" i="13" s="1"/>
  <c r="S17" i="3"/>
  <c r="T17" i="13" s="1"/>
  <c r="S21" i="3"/>
  <c r="T20" i="13" s="1"/>
  <c r="S32" i="3"/>
  <c r="T22" i="13" s="1"/>
  <c r="V22" i="3"/>
  <c r="S28" i="3"/>
  <c r="T29" i="13" s="1"/>
  <c r="W22" i="3"/>
  <c r="S25" i="3"/>
  <c r="T25" i="13" s="1"/>
  <c r="S10" i="3"/>
  <c r="S35" i="3"/>
  <c r="T35" i="13" s="1"/>
  <c r="S19" i="3"/>
  <c r="T19" i="13" s="1"/>
  <c r="S27" i="3"/>
  <c r="T28" i="13" s="1"/>
  <c r="S30" i="3"/>
  <c r="T31" i="13" s="1"/>
  <c r="S33" i="3"/>
  <c r="T33" i="13" s="1"/>
  <c r="S36" i="3"/>
  <c r="T36" i="13" s="1"/>
  <c r="W18" i="3"/>
  <c r="U23" i="3"/>
  <c r="S14" i="3"/>
  <c r="U27" i="3"/>
  <c r="W7" i="3"/>
  <c r="U19" i="3"/>
  <c r="V24" i="3"/>
  <c r="V25" i="3"/>
  <c r="V26" i="3"/>
  <c r="V27" i="3"/>
  <c r="O35" i="3"/>
  <c r="U10" i="3"/>
  <c r="H13" i="3"/>
  <c r="H15" i="3" s="1"/>
  <c r="U24" i="3"/>
  <c r="W26" i="3"/>
  <c r="V10" i="3"/>
  <c r="W24" i="3"/>
  <c r="S7" i="3"/>
  <c r="O9" i="3"/>
  <c r="O30" i="3"/>
  <c r="S9" i="3"/>
  <c r="J13" i="3"/>
  <c r="O11" i="3"/>
  <c r="O34" i="3"/>
  <c r="V11" i="3"/>
  <c r="W11" i="3"/>
  <c r="U11" i="3"/>
  <c r="W20" i="3"/>
  <c r="V20" i="3"/>
  <c r="U20" i="3"/>
  <c r="S8" i="3"/>
  <c r="W29" i="3"/>
  <c r="V29" i="3"/>
  <c r="U29" i="3"/>
  <c r="U9" i="3"/>
  <c r="W9" i="3"/>
  <c r="V9" i="3"/>
  <c r="F13" i="3"/>
  <c r="N13" i="3"/>
  <c r="V8" i="3"/>
  <c r="R13" i="3"/>
  <c r="W8" i="3"/>
  <c r="U8" i="3"/>
  <c r="W42" i="3"/>
  <c r="V42" i="3"/>
  <c r="U42" i="3"/>
  <c r="I13" i="3"/>
  <c r="O18" i="3"/>
  <c r="J37" i="3"/>
  <c r="W28" i="3"/>
  <c r="V28" i="3"/>
  <c r="U28" i="3"/>
  <c r="D37" i="3"/>
  <c r="O17" i="3"/>
  <c r="L37" i="3"/>
  <c r="O14" i="3"/>
  <c r="O36" i="3"/>
  <c r="V12" i="3"/>
  <c r="U12" i="3"/>
  <c r="V36" i="3"/>
  <c r="E13" i="3"/>
  <c r="E37" i="3"/>
  <c r="M37" i="3"/>
  <c r="V18" i="3"/>
  <c r="U22" i="3"/>
  <c r="O22" i="3"/>
  <c r="O23" i="3"/>
  <c r="O10" i="3"/>
  <c r="N37" i="3"/>
  <c r="O42" i="3"/>
  <c r="C13" i="3"/>
  <c r="O8" i="3"/>
  <c r="K13" i="3"/>
  <c r="V17" i="3"/>
  <c r="I37" i="3"/>
  <c r="F37" i="3"/>
  <c r="D13" i="3"/>
  <c r="O7" i="3"/>
  <c r="L13" i="3"/>
  <c r="O21" i="3"/>
  <c r="V30" i="3"/>
  <c r="U30" i="3"/>
  <c r="W30" i="3"/>
  <c r="M13" i="3"/>
  <c r="O12" i="3"/>
  <c r="V14" i="3"/>
  <c r="U14" i="3"/>
  <c r="O29" i="3"/>
  <c r="O33" i="3"/>
  <c r="G13" i="3"/>
  <c r="G37" i="3"/>
  <c r="V7" i="3"/>
  <c r="H37" i="3"/>
  <c r="U17" i="3"/>
  <c r="R37" i="3"/>
  <c r="O20" i="3"/>
  <c r="O27" i="3"/>
  <c r="C37" i="3"/>
  <c r="K37" i="3"/>
  <c r="W19" i="3"/>
  <c r="U21" i="3"/>
  <c r="O24" i="3"/>
  <c r="O25" i="3"/>
  <c r="O26" i="3"/>
  <c r="O32" i="3"/>
  <c r="O19" i="3"/>
  <c r="W23" i="3"/>
  <c r="U25" i="3"/>
  <c r="O28" i="3"/>
  <c r="V32" i="3"/>
  <c r="U32" i="3"/>
  <c r="W33" i="3"/>
  <c r="V34" i="3"/>
  <c r="U35" i="3"/>
  <c r="U33" i="3"/>
  <c r="U34" i="3"/>
  <c r="V35" i="3"/>
  <c r="Y211" i="2"/>
  <c r="Y214" i="2" s="1"/>
  <c r="T8" i="13" l="1"/>
  <c r="X8" i="3"/>
  <c r="W32" i="13"/>
  <c r="T9" i="13"/>
  <c r="X9" i="3"/>
  <c r="T14" i="13"/>
  <c r="X14" i="3"/>
  <c r="T7" i="13"/>
  <c r="S13" i="3"/>
  <c r="S15" i="3" s="1"/>
  <c r="X15" i="3" s="1"/>
  <c r="X7" i="3"/>
  <c r="T10" i="13"/>
  <c r="X10" i="3"/>
  <c r="T11" i="13"/>
  <c r="X12" i="3"/>
  <c r="T37" i="13"/>
  <c r="I16" i="22"/>
  <c r="H16" i="22"/>
  <c r="U88" i="13"/>
  <c r="U41" i="13"/>
  <c r="Q86" i="13"/>
  <c r="Q90" i="13"/>
  <c r="Q43" i="13"/>
  <c r="R81" i="13"/>
  <c r="R56" i="13"/>
  <c r="R70" i="13"/>
  <c r="R75" i="13"/>
  <c r="R72" i="13"/>
  <c r="R85" i="13"/>
  <c r="R77" i="13"/>
  <c r="R69" i="13"/>
  <c r="R60" i="13"/>
  <c r="R39" i="13"/>
  <c r="R82" i="13"/>
  <c r="R57" i="13"/>
  <c r="R93" i="13"/>
  <c r="R79" i="13"/>
  <c r="R71" i="13"/>
  <c r="R84" i="13"/>
  <c r="R76" i="13"/>
  <c r="R68" i="13"/>
  <c r="R59" i="13"/>
  <c r="R73" i="13"/>
  <c r="R78" i="13"/>
  <c r="R61" i="13"/>
  <c r="R89" i="13"/>
  <c r="R83" i="13"/>
  <c r="R67" i="13"/>
  <c r="R58" i="13"/>
  <c r="R80" i="13"/>
  <c r="R63" i="13"/>
  <c r="R91" i="13"/>
  <c r="R74" i="13"/>
  <c r="R66" i="13"/>
  <c r="R62" i="13"/>
  <c r="R64" i="13" s="1"/>
  <c r="O9" i="12"/>
  <c r="O49" i="12" s="1"/>
  <c r="L39" i="12"/>
  <c r="L38" i="12"/>
  <c r="L36" i="12"/>
  <c r="M12" i="13" s="1"/>
  <c r="L42" i="12"/>
  <c r="L23" i="12"/>
  <c r="L52" i="12" s="1"/>
  <c r="L51" i="12"/>
  <c r="L43" i="12"/>
  <c r="P25" i="12"/>
  <c r="P52" i="12"/>
  <c r="L45" i="12"/>
  <c r="O43" i="12"/>
  <c r="C23" i="12"/>
  <c r="C50" i="12"/>
  <c r="R40" i="12"/>
  <c r="M38" i="12"/>
  <c r="M42" i="12"/>
  <c r="M23" i="12"/>
  <c r="M52" i="12" s="1"/>
  <c r="M49" i="12"/>
  <c r="M41" i="12"/>
  <c r="M43" i="12"/>
  <c r="M51" i="12"/>
  <c r="M39" i="12"/>
  <c r="O46" i="12"/>
  <c r="K23" i="12"/>
  <c r="K52" i="12" s="1"/>
  <c r="K50" i="12"/>
  <c r="Q25" i="12"/>
  <c r="Q52" i="12"/>
  <c r="N23" i="12"/>
  <c r="E38" i="12"/>
  <c r="E49" i="12"/>
  <c r="E23" i="12"/>
  <c r="E52" i="12" s="1"/>
  <c r="E41" i="12"/>
  <c r="E51" i="12"/>
  <c r="E39" i="12"/>
  <c r="E55" i="12"/>
  <c r="E42" i="12"/>
  <c r="E40" i="12"/>
  <c r="F23" i="12"/>
  <c r="F52" i="12" s="1"/>
  <c r="J23" i="12"/>
  <c r="J52" i="12" s="1"/>
  <c r="O48" i="12"/>
  <c r="M40" i="12"/>
  <c r="M48" i="12"/>
  <c r="E46" i="12"/>
  <c r="M50" i="12"/>
  <c r="E48" i="12"/>
  <c r="O55" i="12"/>
  <c r="E45" i="12"/>
  <c r="M36" i="12"/>
  <c r="N12" i="13" s="1"/>
  <c r="O41" i="12"/>
  <c r="W21" i="12"/>
  <c r="V21" i="12"/>
  <c r="U21" i="12"/>
  <c r="R50" i="12"/>
  <c r="O21" i="12"/>
  <c r="O50" i="12" s="1"/>
  <c r="O40" i="12"/>
  <c r="I23" i="12"/>
  <c r="I52" i="12" s="1"/>
  <c r="I51" i="12"/>
  <c r="I46" i="12"/>
  <c r="I43" i="12"/>
  <c r="I38" i="12"/>
  <c r="I55" i="12"/>
  <c r="I45" i="12"/>
  <c r="I36" i="12"/>
  <c r="J12" i="13" s="1"/>
  <c r="I47" i="12"/>
  <c r="I39" i="12"/>
  <c r="I44" i="12"/>
  <c r="I37" i="12"/>
  <c r="I41" i="12"/>
  <c r="R23" i="12"/>
  <c r="R47" i="12"/>
  <c r="R39" i="12"/>
  <c r="U9" i="12"/>
  <c r="W9" i="12"/>
  <c r="V9" i="12"/>
  <c r="R51" i="12"/>
  <c r="R46" i="12"/>
  <c r="R43" i="12"/>
  <c r="R38" i="12"/>
  <c r="R45" i="12"/>
  <c r="R42" i="12"/>
  <c r="R36" i="12"/>
  <c r="S12" i="13" s="1"/>
  <c r="W12" i="13" s="1"/>
  <c r="I50" i="12"/>
  <c r="M45" i="12"/>
  <c r="L49" i="12"/>
  <c r="L46" i="12"/>
  <c r="E50" i="12"/>
  <c r="L47" i="12"/>
  <c r="L41" i="12"/>
  <c r="S9" i="11"/>
  <c r="J76" i="11"/>
  <c r="L82" i="11"/>
  <c r="F35" i="11"/>
  <c r="F79" i="11" s="1"/>
  <c r="L67" i="11"/>
  <c r="D82" i="11"/>
  <c r="D63" i="11"/>
  <c r="D71" i="11"/>
  <c r="D73" i="11"/>
  <c r="D64" i="11"/>
  <c r="D66" i="11"/>
  <c r="D70" i="11"/>
  <c r="I60" i="11"/>
  <c r="I67" i="11"/>
  <c r="I72" i="11"/>
  <c r="I73" i="11"/>
  <c r="I68" i="11"/>
  <c r="J51" i="11"/>
  <c r="I52" i="11"/>
  <c r="I57" i="11"/>
  <c r="J78" i="11"/>
  <c r="I51" i="11"/>
  <c r="L57" i="11"/>
  <c r="I75" i="11"/>
  <c r="I55" i="11"/>
  <c r="I62" i="11"/>
  <c r="L76" i="11"/>
  <c r="I53" i="11"/>
  <c r="I65" i="11"/>
  <c r="J63" i="11"/>
  <c r="L53" i="11"/>
  <c r="J70" i="11"/>
  <c r="I71" i="11"/>
  <c r="I69" i="11"/>
  <c r="I61" i="11"/>
  <c r="J66" i="11"/>
  <c r="I58" i="11"/>
  <c r="I59" i="11"/>
  <c r="I64" i="11"/>
  <c r="I63" i="11"/>
  <c r="I77" i="11"/>
  <c r="J54" i="11"/>
  <c r="I35" i="11"/>
  <c r="I79" i="11" s="1"/>
  <c r="J57" i="11"/>
  <c r="J69" i="11"/>
  <c r="I74" i="11"/>
  <c r="J61" i="11"/>
  <c r="I70" i="11"/>
  <c r="I66" i="11"/>
  <c r="J75" i="11"/>
  <c r="J67" i="11"/>
  <c r="J59" i="11"/>
  <c r="I76" i="11"/>
  <c r="I82" i="11"/>
  <c r="I56" i="11"/>
  <c r="I54" i="11"/>
  <c r="G63" i="11"/>
  <c r="G54" i="11"/>
  <c r="G62" i="11"/>
  <c r="G61" i="11"/>
  <c r="G70" i="11"/>
  <c r="G65" i="11"/>
  <c r="G51" i="11"/>
  <c r="G53" i="11"/>
  <c r="L69" i="11"/>
  <c r="L56" i="11"/>
  <c r="L51" i="11"/>
  <c r="L72" i="11"/>
  <c r="L62" i="11"/>
  <c r="L55" i="11"/>
  <c r="L52" i="11"/>
  <c r="L54" i="11"/>
  <c r="L70" i="11"/>
  <c r="D53" i="11"/>
  <c r="L74" i="11"/>
  <c r="J64" i="11"/>
  <c r="D55" i="11"/>
  <c r="J77" i="11"/>
  <c r="J56" i="11"/>
  <c r="D72" i="11"/>
  <c r="L66" i="11"/>
  <c r="L75" i="11"/>
  <c r="L59" i="11"/>
  <c r="D69" i="11"/>
  <c r="D52" i="11"/>
  <c r="D67" i="11"/>
  <c r="D76" i="11"/>
  <c r="D57" i="11"/>
  <c r="D78" i="11"/>
  <c r="L68" i="11"/>
  <c r="D65" i="11"/>
  <c r="D58" i="11"/>
  <c r="L73" i="11"/>
  <c r="D68" i="11"/>
  <c r="D51" i="11"/>
  <c r="J72" i="11"/>
  <c r="D56" i="11"/>
  <c r="D54" i="11"/>
  <c r="L65" i="11"/>
  <c r="L58" i="11"/>
  <c r="D75" i="11"/>
  <c r="D59" i="11"/>
  <c r="L60" i="11"/>
  <c r="L64" i="11"/>
  <c r="L78" i="11"/>
  <c r="D61" i="11"/>
  <c r="D74" i="11"/>
  <c r="D62" i="11"/>
  <c r="L71" i="11"/>
  <c r="D60" i="11"/>
  <c r="L61" i="11"/>
  <c r="V9" i="11"/>
  <c r="U9" i="11"/>
  <c r="W9" i="11"/>
  <c r="R53" i="11"/>
  <c r="G68" i="11"/>
  <c r="K11" i="11"/>
  <c r="K53" i="11" s="1"/>
  <c r="G71" i="11"/>
  <c r="W33" i="11"/>
  <c r="V33" i="11"/>
  <c r="U33" i="11"/>
  <c r="O33" i="11"/>
  <c r="J35" i="11"/>
  <c r="J79" i="11" s="1"/>
  <c r="G55" i="11"/>
  <c r="G35" i="11"/>
  <c r="G79" i="11" s="1"/>
  <c r="G78" i="11"/>
  <c r="G67" i="11"/>
  <c r="G74" i="11"/>
  <c r="G58" i="11"/>
  <c r="G52" i="11"/>
  <c r="G75" i="11"/>
  <c r="G72" i="11"/>
  <c r="G69" i="11"/>
  <c r="G82" i="11"/>
  <c r="G76" i="11"/>
  <c r="G73" i="11"/>
  <c r="G66" i="11"/>
  <c r="G59" i="11"/>
  <c r="G60" i="11"/>
  <c r="G56" i="11"/>
  <c r="G57" i="11"/>
  <c r="C11" i="11"/>
  <c r="L77" i="11"/>
  <c r="L35" i="11"/>
  <c r="L79" i="11" s="1"/>
  <c r="M11" i="11"/>
  <c r="M77" i="11" s="1"/>
  <c r="G77" i="11"/>
  <c r="O9" i="11"/>
  <c r="E11" i="11"/>
  <c r="E53" i="11" s="1"/>
  <c r="D77" i="11"/>
  <c r="D35" i="11"/>
  <c r="D79" i="11" s="1"/>
  <c r="N11" i="11"/>
  <c r="N77" i="11" s="1"/>
  <c r="H11" i="11"/>
  <c r="H53" i="11" s="1"/>
  <c r="G64" i="11"/>
  <c r="P41" i="3"/>
  <c r="P86" i="3"/>
  <c r="H79" i="3"/>
  <c r="H77" i="3"/>
  <c r="H68" i="3"/>
  <c r="H56" i="3"/>
  <c r="H70" i="3"/>
  <c r="H80" i="3"/>
  <c r="H59" i="3"/>
  <c r="I11" i="13" s="1"/>
  <c r="H72" i="3"/>
  <c r="H84" i="3"/>
  <c r="S37" i="3"/>
  <c r="H81" i="3"/>
  <c r="H64" i="3"/>
  <c r="H60" i="3"/>
  <c r="H71" i="3"/>
  <c r="H74" i="3"/>
  <c r="H61" i="3"/>
  <c r="H76" i="3"/>
  <c r="H69" i="3"/>
  <c r="H65" i="3"/>
  <c r="H66" i="3"/>
  <c r="H67" i="3"/>
  <c r="H55" i="3"/>
  <c r="I8" i="13" s="1"/>
  <c r="H58" i="3"/>
  <c r="H83" i="3"/>
  <c r="H57" i="3"/>
  <c r="H73" i="3"/>
  <c r="H89" i="3"/>
  <c r="H54" i="3"/>
  <c r="I7" i="13" s="1"/>
  <c r="H75" i="3"/>
  <c r="N15" i="3"/>
  <c r="N84" i="3" s="1"/>
  <c r="D15" i="3"/>
  <c r="R15" i="3"/>
  <c r="W13" i="3"/>
  <c r="V13" i="3"/>
  <c r="U13" i="3"/>
  <c r="J15" i="3"/>
  <c r="J60" i="3" s="1"/>
  <c r="O37" i="3"/>
  <c r="E15" i="3"/>
  <c r="E84" i="3" s="1"/>
  <c r="W37" i="3"/>
  <c r="V37" i="3"/>
  <c r="U37" i="3"/>
  <c r="M15" i="3"/>
  <c r="L15" i="3"/>
  <c r="O13" i="3"/>
  <c r="G15" i="3"/>
  <c r="G60" i="3" s="1"/>
  <c r="H85" i="3"/>
  <c r="H63" i="3"/>
  <c r="H78" i="3"/>
  <c r="H39" i="3"/>
  <c r="H82" i="3"/>
  <c r="H62" i="3"/>
  <c r="C15" i="3"/>
  <c r="K15" i="3"/>
  <c r="K84" i="3" s="1"/>
  <c r="F15" i="3"/>
  <c r="I15" i="3"/>
  <c r="I84" i="3" s="1"/>
  <c r="T13" i="13" l="1"/>
  <c r="X7" i="13"/>
  <c r="R60" i="3"/>
  <c r="R54" i="3"/>
  <c r="X9" i="13"/>
  <c r="V10" i="13"/>
  <c r="X10" i="13"/>
  <c r="X11" i="13"/>
  <c r="X8" i="13"/>
  <c r="T15" i="13"/>
  <c r="S40" i="3" s="1"/>
  <c r="Z14" i="3"/>
  <c r="R41" i="13"/>
  <c r="R88" i="13"/>
  <c r="P12" i="13"/>
  <c r="Q92" i="13"/>
  <c r="Q45" i="13"/>
  <c r="Q94" i="13" s="1"/>
  <c r="R86" i="13"/>
  <c r="U90" i="13"/>
  <c r="U43" i="13"/>
  <c r="R52" i="12"/>
  <c r="W23" i="12"/>
  <c r="V23" i="12"/>
  <c r="U23" i="12"/>
  <c r="C52" i="12"/>
  <c r="C25" i="12"/>
  <c r="Q54" i="12"/>
  <c r="Q27" i="12"/>
  <c r="P54" i="12"/>
  <c r="P27" i="12"/>
  <c r="O51" i="12"/>
  <c r="O23" i="12"/>
  <c r="O52" i="12" s="1"/>
  <c r="O39" i="12"/>
  <c r="O38" i="12"/>
  <c r="O45" i="12"/>
  <c r="N52" i="12"/>
  <c r="N25" i="12"/>
  <c r="O44" i="12"/>
  <c r="O36" i="12"/>
  <c r="O42" i="12"/>
  <c r="O37" i="12"/>
  <c r="O47" i="12"/>
  <c r="S35" i="11"/>
  <c r="R77" i="11"/>
  <c r="N53" i="11"/>
  <c r="K77" i="11"/>
  <c r="N56" i="11"/>
  <c r="N55" i="11"/>
  <c r="N35" i="11"/>
  <c r="N80" i="11"/>
  <c r="N78" i="11"/>
  <c r="N60" i="11"/>
  <c r="N67" i="11"/>
  <c r="N76" i="11"/>
  <c r="N75" i="11"/>
  <c r="N69" i="11"/>
  <c r="N65" i="11"/>
  <c r="N62" i="11"/>
  <c r="N59" i="11"/>
  <c r="N52" i="11"/>
  <c r="N68" i="11"/>
  <c r="N74" i="11"/>
  <c r="N66" i="11"/>
  <c r="N61" i="11"/>
  <c r="N70" i="11"/>
  <c r="N54" i="11"/>
  <c r="N51" i="11"/>
  <c r="N57" i="11"/>
  <c r="N63" i="11"/>
  <c r="N64" i="11"/>
  <c r="N72" i="11"/>
  <c r="N82" i="11"/>
  <c r="N73" i="11"/>
  <c r="N58" i="11"/>
  <c r="N71" i="11"/>
  <c r="M56" i="11"/>
  <c r="M69" i="11"/>
  <c r="M78" i="11"/>
  <c r="M76" i="11"/>
  <c r="M55" i="11"/>
  <c r="M60" i="11"/>
  <c r="M62" i="11"/>
  <c r="M68" i="11"/>
  <c r="M63" i="11"/>
  <c r="M61" i="11"/>
  <c r="M58" i="11"/>
  <c r="M52" i="11"/>
  <c r="M51" i="11"/>
  <c r="M35" i="11"/>
  <c r="M79" i="11" s="1"/>
  <c r="M74" i="11"/>
  <c r="M67" i="11"/>
  <c r="M72" i="11"/>
  <c r="M64" i="11"/>
  <c r="M57" i="11"/>
  <c r="M54" i="11"/>
  <c r="M82" i="11"/>
  <c r="M75" i="11"/>
  <c r="M71" i="11"/>
  <c r="M59" i="11"/>
  <c r="M66" i="11"/>
  <c r="M65" i="11"/>
  <c r="M70" i="11"/>
  <c r="M73" i="11"/>
  <c r="C78" i="11"/>
  <c r="C80" i="11"/>
  <c r="C70" i="11"/>
  <c r="C71" i="11"/>
  <c r="C55" i="11"/>
  <c r="C52" i="11"/>
  <c r="C68" i="11"/>
  <c r="C63" i="11"/>
  <c r="C35" i="11"/>
  <c r="C62" i="11"/>
  <c r="C56" i="11"/>
  <c r="C75" i="11"/>
  <c r="C74" i="11"/>
  <c r="C58" i="11"/>
  <c r="C76" i="11"/>
  <c r="C57" i="11"/>
  <c r="C51" i="11"/>
  <c r="C61" i="11"/>
  <c r="C65" i="11"/>
  <c r="C64" i="11"/>
  <c r="C54" i="11"/>
  <c r="C69" i="11"/>
  <c r="C67" i="11"/>
  <c r="C66" i="11"/>
  <c r="C73" i="11"/>
  <c r="C60" i="11"/>
  <c r="C59" i="11"/>
  <c r="C72" i="11"/>
  <c r="C82" i="11"/>
  <c r="C77" i="11"/>
  <c r="M53" i="11"/>
  <c r="C53" i="11"/>
  <c r="R82" i="11"/>
  <c r="R55" i="11"/>
  <c r="R74" i="11"/>
  <c r="R58" i="11"/>
  <c r="R72" i="11"/>
  <c r="R69" i="11"/>
  <c r="R56" i="11"/>
  <c r="R35" i="11"/>
  <c r="W11" i="11"/>
  <c r="R65" i="11"/>
  <c r="R54" i="11"/>
  <c r="R78" i="11"/>
  <c r="R57" i="11"/>
  <c r="R73" i="11"/>
  <c r="R61" i="11"/>
  <c r="U11" i="11"/>
  <c r="R66" i="11"/>
  <c r="R64" i="11"/>
  <c r="R63" i="11"/>
  <c r="R70" i="11"/>
  <c r="V11" i="11"/>
  <c r="R51" i="11"/>
  <c r="R67" i="11"/>
  <c r="R60" i="11"/>
  <c r="R76" i="11"/>
  <c r="R71" i="11"/>
  <c r="R52" i="11"/>
  <c r="R75" i="11"/>
  <c r="R62" i="11"/>
  <c r="R68" i="11"/>
  <c r="R59" i="11"/>
  <c r="E56" i="11"/>
  <c r="E76" i="11"/>
  <c r="E60" i="11"/>
  <c r="E55" i="11"/>
  <c r="E61" i="11"/>
  <c r="E69" i="11"/>
  <c r="E68" i="11"/>
  <c r="E63" i="11"/>
  <c r="E70" i="11"/>
  <c r="E78" i="11"/>
  <c r="E54" i="11"/>
  <c r="E35" i="11"/>
  <c r="E79" i="11" s="1"/>
  <c r="E58" i="11"/>
  <c r="E82" i="11"/>
  <c r="E66" i="11"/>
  <c r="E74" i="11"/>
  <c r="E57" i="11"/>
  <c r="E65" i="11"/>
  <c r="E67" i="11"/>
  <c r="E51" i="11"/>
  <c r="E72" i="11"/>
  <c r="E64" i="11"/>
  <c r="E59" i="11"/>
  <c r="E52" i="11"/>
  <c r="E71" i="11"/>
  <c r="E73" i="11"/>
  <c r="E62" i="11"/>
  <c r="E75" i="11"/>
  <c r="O11" i="11"/>
  <c r="O53" i="11" s="1"/>
  <c r="E77" i="11"/>
  <c r="H78" i="11"/>
  <c r="H55" i="11"/>
  <c r="H74" i="11"/>
  <c r="I34" i="13" s="1"/>
  <c r="H58" i="11"/>
  <c r="I18" i="13" s="1"/>
  <c r="H75" i="11"/>
  <c r="I35" i="13" s="1"/>
  <c r="H72" i="11"/>
  <c r="I22" i="13" s="1"/>
  <c r="H59" i="11"/>
  <c r="I19" i="13" s="1"/>
  <c r="H56" i="11"/>
  <c r="H35" i="11"/>
  <c r="H79" i="11" s="1"/>
  <c r="H65" i="11"/>
  <c r="I26" i="13" s="1"/>
  <c r="H66" i="11"/>
  <c r="I27" i="13" s="1"/>
  <c r="H63" i="11"/>
  <c r="I21" i="13" s="1"/>
  <c r="H51" i="11"/>
  <c r="I9" i="13" s="1"/>
  <c r="H82" i="11"/>
  <c r="I42" i="13" s="1"/>
  <c r="H67" i="11"/>
  <c r="I28" i="13" s="1"/>
  <c r="H64" i="11"/>
  <c r="I25" i="13" s="1"/>
  <c r="H60" i="11"/>
  <c r="I23" i="13" s="1"/>
  <c r="H57" i="11"/>
  <c r="I17" i="13" s="1"/>
  <c r="H73" i="11"/>
  <c r="I33" i="13" s="1"/>
  <c r="H52" i="11"/>
  <c r="I10" i="13" s="1"/>
  <c r="H76" i="11"/>
  <c r="I36" i="13" s="1"/>
  <c r="H62" i="11"/>
  <c r="I24" i="13" s="1"/>
  <c r="H71" i="11"/>
  <c r="I32" i="13" s="1"/>
  <c r="H70" i="11"/>
  <c r="I31" i="13" s="1"/>
  <c r="H54" i="11"/>
  <c r="I14" i="13" s="1"/>
  <c r="H61" i="11"/>
  <c r="I20" i="13" s="1"/>
  <c r="H69" i="11"/>
  <c r="I30" i="13" s="1"/>
  <c r="H77" i="11"/>
  <c r="H68" i="11"/>
  <c r="I29" i="13" s="1"/>
  <c r="K56" i="11"/>
  <c r="K35" i="11"/>
  <c r="K79" i="11" s="1"/>
  <c r="K63" i="11"/>
  <c r="K78" i="11"/>
  <c r="K70" i="11"/>
  <c r="K54" i="11"/>
  <c r="K76" i="11"/>
  <c r="K71" i="11"/>
  <c r="K62" i="11"/>
  <c r="K55" i="11"/>
  <c r="K61" i="11"/>
  <c r="K64" i="11"/>
  <c r="K59" i="11"/>
  <c r="K58" i="11"/>
  <c r="K51" i="11"/>
  <c r="K73" i="11"/>
  <c r="K65" i="11"/>
  <c r="K60" i="11"/>
  <c r="K75" i="11"/>
  <c r="K74" i="11"/>
  <c r="K68" i="11"/>
  <c r="K72" i="11"/>
  <c r="K57" i="11"/>
  <c r="K52" i="11"/>
  <c r="K69" i="11"/>
  <c r="K67" i="11"/>
  <c r="K66" i="11"/>
  <c r="K82" i="11"/>
  <c r="P43" i="3"/>
  <c r="P88" i="3"/>
  <c r="R84" i="3"/>
  <c r="G84" i="3"/>
  <c r="S39" i="3"/>
  <c r="K60" i="3"/>
  <c r="F85" i="3"/>
  <c r="F62" i="3"/>
  <c r="F39" i="3"/>
  <c r="F78" i="3"/>
  <c r="G32" i="13" s="1"/>
  <c r="F67" i="3"/>
  <c r="G23" i="13" s="1"/>
  <c r="F63" i="3"/>
  <c r="F76" i="3"/>
  <c r="G30" i="13" s="1"/>
  <c r="F81" i="3"/>
  <c r="G34" i="13" s="1"/>
  <c r="F66" i="3"/>
  <c r="G19" i="13" s="1"/>
  <c r="F54" i="3"/>
  <c r="G7" i="13" s="1"/>
  <c r="F74" i="3"/>
  <c r="G28" i="13" s="1"/>
  <c r="F80" i="3"/>
  <c r="G33" i="13" s="1"/>
  <c r="F68" i="3"/>
  <c r="G20" i="13" s="1"/>
  <c r="F79" i="3"/>
  <c r="G22" i="13" s="1"/>
  <c r="F59" i="3"/>
  <c r="G11" i="13" s="1"/>
  <c r="F64" i="3"/>
  <c r="G17" i="13" s="1"/>
  <c r="F72" i="3"/>
  <c r="G25" i="13" s="1"/>
  <c r="F75" i="3"/>
  <c r="G29" i="13" s="1"/>
  <c r="F58" i="3"/>
  <c r="F69" i="3"/>
  <c r="G24" i="13" s="1"/>
  <c r="F56" i="3"/>
  <c r="G9" i="13" s="1"/>
  <c r="F82" i="3"/>
  <c r="G35" i="13" s="1"/>
  <c r="F70" i="3"/>
  <c r="G21" i="13" s="1"/>
  <c r="F65" i="3"/>
  <c r="G18" i="13" s="1"/>
  <c r="F57" i="3"/>
  <c r="G10" i="13" s="1"/>
  <c r="F73" i="3"/>
  <c r="G27" i="13" s="1"/>
  <c r="F55" i="3"/>
  <c r="G8" i="13" s="1"/>
  <c r="F77" i="3"/>
  <c r="G31" i="13" s="1"/>
  <c r="F83" i="3"/>
  <c r="G36" i="13" s="1"/>
  <c r="F89" i="3"/>
  <c r="G42" i="13" s="1"/>
  <c r="F61" i="3"/>
  <c r="G14" i="13" s="1"/>
  <c r="F71" i="3"/>
  <c r="G26" i="13" s="1"/>
  <c r="I60" i="3"/>
  <c r="F60" i="3"/>
  <c r="M62" i="3"/>
  <c r="M85" i="3"/>
  <c r="M68" i="3"/>
  <c r="M70" i="3"/>
  <c r="M57" i="3"/>
  <c r="N10" i="13" s="1"/>
  <c r="M39" i="3"/>
  <c r="M76" i="3"/>
  <c r="M71" i="3"/>
  <c r="N26" i="13" s="1"/>
  <c r="M78" i="3"/>
  <c r="M63" i="3"/>
  <c r="M74" i="3"/>
  <c r="M73" i="3"/>
  <c r="M56" i="3"/>
  <c r="N9" i="13" s="1"/>
  <c r="M61" i="3"/>
  <c r="N14" i="13" s="1"/>
  <c r="M80" i="3"/>
  <c r="N33" i="13" s="1"/>
  <c r="M54" i="3"/>
  <c r="N7" i="13" s="1"/>
  <c r="M69" i="3"/>
  <c r="M77" i="3"/>
  <c r="M55" i="3"/>
  <c r="N8" i="13" s="1"/>
  <c r="M81" i="3"/>
  <c r="M58" i="3"/>
  <c r="M79" i="3"/>
  <c r="M59" i="3"/>
  <c r="N11" i="13" s="1"/>
  <c r="M66" i="3"/>
  <c r="M82" i="3"/>
  <c r="M72" i="3"/>
  <c r="M65" i="3"/>
  <c r="M67" i="3"/>
  <c r="N23" i="13" s="1"/>
  <c r="M75" i="3"/>
  <c r="M89" i="3"/>
  <c r="N42" i="13" s="1"/>
  <c r="M83" i="3"/>
  <c r="N36" i="13" s="1"/>
  <c r="M64" i="3"/>
  <c r="D85" i="3"/>
  <c r="D62" i="3"/>
  <c r="D79" i="3"/>
  <c r="E22" i="13" s="1"/>
  <c r="V22" i="13" s="1"/>
  <c r="D77" i="3"/>
  <c r="E31" i="13" s="1"/>
  <c r="V31" i="13" s="1"/>
  <c r="D82" i="3"/>
  <c r="E35" i="13" s="1"/>
  <c r="V35" i="13" s="1"/>
  <c r="D78" i="3"/>
  <c r="E32" i="13" s="1"/>
  <c r="V32" i="13" s="1"/>
  <c r="D74" i="3"/>
  <c r="E28" i="13" s="1"/>
  <c r="V28" i="13" s="1"/>
  <c r="D69" i="3"/>
  <c r="E24" i="13" s="1"/>
  <c r="V24" i="13" s="1"/>
  <c r="D75" i="3"/>
  <c r="E29" i="13" s="1"/>
  <c r="V29" i="13" s="1"/>
  <c r="D39" i="3"/>
  <c r="D63" i="3"/>
  <c r="D70" i="3"/>
  <c r="E21" i="13" s="1"/>
  <c r="V21" i="13" s="1"/>
  <c r="D67" i="3"/>
  <c r="E23" i="13" s="1"/>
  <c r="V23" i="13" s="1"/>
  <c r="D64" i="3"/>
  <c r="E17" i="13" s="1"/>
  <c r="V17" i="13" s="1"/>
  <c r="D68" i="3"/>
  <c r="E20" i="13" s="1"/>
  <c r="V20" i="13" s="1"/>
  <c r="D61" i="3"/>
  <c r="E14" i="13" s="1"/>
  <c r="V14" i="13" s="1"/>
  <c r="D57" i="3"/>
  <c r="E10" i="13" s="1"/>
  <c r="D72" i="3"/>
  <c r="E25" i="13" s="1"/>
  <c r="V25" i="13" s="1"/>
  <c r="D58" i="3"/>
  <c r="D59" i="3"/>
  <c r="E11" i="13" s="1"/>
  <c r="V11" i="13" s="1"/>
  <c r="D76" i="3"/>
  <c r="E30" i="13" s="1"/>
  <c r="V30" i="13" s="1"/>
  <c r="D55" i="3"/>
  <c r="E8" i="13" s="1"/>
  <c r="V8" i="13" s="1"/>
  <c r="D54" i="3"/>
  <c r="E7" i="13" s="1"/>
  <c r="V7" i="13" s="1"/>
  <c r="D71" i="3"/>
  <c r="E26" i="13" s="1"/>
  <c r="V26" i="13" s="1"/>
  <c r="D89" i="3"/>
  <c r="E42" i="13" s="1"/>
  <c r="D83" i="3"/>
  <c r="E36" i="13" s="1"/>
  <c r="V36" i="13" s="1"/>
  <c r="D66" i="3"/>
  <c r="E19" i="13" s="1"/>
  <c r="V19" i="13" s="1"/>
  <c r="D80" i="3"/>
  <c r="E33" i="13" s="1"/>
  <c r="V33" i="13" s="1"/>
  <c r="D56" i="3"/>
  <c r="E9" i="13" s="1"/>
  <c r="V9" i="13" s="1"/>
  <c r="D73" i="3"/>
  <c r="E27" i="13" s="1"/>
  <c r="V27" i="13" s="1"/>
  <c r="D81" i="3"/>
  <c r="E34" i="13" s="1"/>
  <c r="V34" i="13" s="1"/>
  <c r="D65" i="3"/>
  <c r="E18" i="13" s="1"/>
  <c r="V18" i="13" s="1"/>
  <c r="N87" i="3"/>
  <c r="N85" i="3"/>
  <c r="N63" i="3"/>
  <c r="N75" i="3"/>
  <c r="N39" i="3"/>
  <c r="N62" i="3"/>
  <c r="N89" i="3"/>
  <c r="O42" i="13" s="1"/>
  <c r="N78" i="3"/>
  <c r="N67" i="3"/>
  <c r="N55" i="3"/>
  <c r="O8" i="13" s="1"/>
  <c r="N69" i="3"/>
  <c r="N80" i="3"/>
  <c r="O33" i="13" s="1"/>
  <c r="N66" i="3"/>
  <c r="N61" i="3"/>
  <c r="N82" i="3"/>
  <c r="O35" i="13" s="1"/>
  <c r="N73" i="3"/>
  <c r="O27" i="13" s="1"/>
  <c r="N68" i="3"/>
  <c r="O20" i="13" s="1"/>
  <c r="N79" i="3"/>
  <c r="O22" i="13" s="1"/>
  <c r="N71" i="3"/>
  <c r="N58" i="3"/>
  <c r="N72" i="3"/>
  <c r="N54" i="3"/>
  <c r="O7" i="13" s="1"/>
  <c r="N83" i="3"/>
  <c r="N59" i="3"/>
  <c r="O11" i="13" s="1"/>
  <c r="N65" i="3"/>
  <c r="N57" i="3"/>
  <c r="N77" i="3"/>
  <c r="N64" i="3"/>
  <c r="N76" i="3"/>
  <c r="O30" i="13" s="1"/>
  <c r="N81" i="3"/>
  <c r="N56" i="3"/>
  <c r="N70" i="3"/>
  <c r="O21" i="13" s="1"/>
  <c r="N74" i="3"/>
  <c r="O28" i="13" s="1"/>
  <c r="L78" i="3"/>
  <c r="M32" i="13" s="1"/>
  <c r="L63" i="3"/>
  <c r="L83" i="3"/>
  <c r="M36" i="13" s="1"/>
  <c r="L69" i="3"/>
  <c r="M24" i="13" s="1"/>
  <c r="L39" i="3"/>
  <c r="L85" i="3"/>
  <c r="L77" i="3"/>
  <c r="M31" i="13" s="1"/>
  <c r="L62" i="3"/>
  <c r="L75" i="3"/>
  <c r="M29" i="13" s="1"/>
  <c r="L68" i="3"/>
  <c r="M20" i="13" s="1"/>
  <c r="L57" i="3"/>
  <c r="M10" i="13" s="1"/>
  <c r="L79" i="3"/>
  <c r="M22" i="13" s="1"/>
  <c r="L59" i="3"/>
  <c r="M11" i="13" s="1"/>
  <c r="L81" i="3"/>
  <c r="M34" i="13" s="1"/>
  <c r="L58" i="3"/>
  <c r="L67" i="3"/>
  <c r="M23" i="13" s="1"/>
  <c r="L73" i="3"/>
  <c r="M27" i="13" s="1"/>
  <c r="L61" i="3"/>
  <c r="M14" i="13" s="1"/>
  <c r="L55" i="3"/>
  <c r="M8" i="13" s="1"/>
  <c r="L82" i="3"/>
  <c r="M35" i="13" s="1"/>
  <c r="L70" i="3"/>
  <c r="M21" i="13" s="1"/>
  <c r="L66" i="3"/>
  <c r="M19" i="13" s="1"/>
  <c r="L72" i="3"/>
  <c r="M25" i="13" s="1"/>
  <c r="L65" i="3"/>
  <c r="M18" i="13" s="1"/>
  <c r="L64" i="3"/>
  <c r="M17" i="13" s="1"/>
  <c r="L80" i="3"/>
  <c r="M33" i="13" s="1"/>
  <c r="L76" i="3"/>
  <c r="M30" i="13" s="1"/>
  <c r="L89" i="3"/>
  <c r="M42" i="13" s="1"/>
  <c r="L74" i="3"/>
  <c r="M28" i="13" s="1"/>
  <c r="L71" i="3"/>
  <c r="M26" i="13" s="1"/>
  <c r="L56" i="3"/>
  <c r="M9" i="13" s="1"/>
  <c r="L54" i="3"/>
  <c r="M7" i="13" s="1"/>
  <c r="M60" i="3"/>
  <c r="E63" i="3"/>
  <c r="E85" i="3"/>
  <c r="E68" i="3"/>
  <c r="E62" i="3"/>
  <c r="E39" i="3"/>
  <c r="E57" i="3"/>
  <c r="E78" i="3"/>
  <c r="F32" i="13" s="1"/>
  <c r="E71" i="3"/>
  <c r="F26" i="13" s="1"/>
  <c r="E72" i="3"/>
  <c r="E67" i="3"/>
  <c r="E73" i="3"/>
  <c r="F27" i="13" s="1"/>
  <c r="E83" i="3"/>
  <c r="F36" i="13" s="1"/>
  <c r="E64" i="3"/>
  <c r="F17" i="13" s="1"/>
  <c r="E70" i="3"/>
  <c r="E80" i="3"/>
  <c r="F33" i="13" s="1"/>
  <c r="E76" i="3"/>
  <c r="E66" i="3"/>
  <c r="F19" i="13" s="1"/>
  <c r="E69" i="3"/>
  <c r="E54" i="3"/>
  <c r="F7" i="13" s="1"/>
  <c r="E59" i="3"/>
  <c r="F11" i="13" s="1"/>
  <c r="E56" i="3"/>
  <c r="E89" i="3"/>
  <c r="E82" i="3"/>
  <c r="E75" i="3"/>
  <c r="F29" i="13" s="1"/>
  <c r="E77" i="3"/>
  <c r="F31" i="13" s="1"/>
  <c r="E81" i="3"/>
  <c r="E61" i="3"/>
  <c r="E55" i="3"/>
  <c r="F8" i="13" s="1"/>
  <c r="E58" i="3"/>
  <c r="E74" i="3"/>
  <c r="E65" i="3"/>
  <c r="E79" i="3"/>
  <c r="J62" i="3"/>
  <c r="J78" i="3"/>
  <c r="K32" i="13" s="1"/>
  <c r="J39" i="3"/>
  <c r="J77" i="3"/>
  <c r="K31" i="13" s="1"/>
  <c r="J63" i="3"/>
  <c r="J85" i="3"/>
  <c r="J81" i="3"/>
  <c r="K34" i="13" s="1"/>
  <c r="J74" i="3"/>
  <c r="K28" i="13" s="1"/>
  <c r="J82" i="3"/>
  <c r="K35" i="13" s="1"/>
  <c r="J68" i="3"/>
  <c r="K20" i="13" s="1"/>
  <c r="J70" i="3"/>
  <c r="K21" i="13" s="1"/>
  <c r="J59" i="3"/>
  <c r="K11" i="13" s="1"/>
  <c r="J73" i="3"/>
  <c r="K27" i="13" s="1"/>
  <c r="J56" i="3"/>
  <c r="K9" i="13" s="1"/>
  <c r="J79" i="3"/>
  <c r="K22" i="13" s="1"/>
  <c r="J55" i="3"/>
  <c r="K8" i="13" s="1"/>
  <c r="J57" i="3"/>
  <c r="K10" i="13" s="1"/>
  <c r="J71" i="3"/>
  <c r="K26" i="13" s="1"/>
  <c r="J83" i="3"/>
  <c r="K36" i="13" s="1"/>
  <c r="J66" i="3"/>
  <c r="K19" i="13" s="1"/>
  <c r="J80" i="3"/>
  <c r="K33" i="13" s="1"/>
  <c r="J76" i="3"/>
  <c r="K30" i="13" s="1"/>
  <c r="J64" i="3"/>
  <c r="K17" i="13" s="1"/>
  <c r="J67" i="3"/>
  <c r="K23" i="13" s="1"/>
  <c r="J61" i="3"/>
  <c r="K14" i="13" s="1"/>
  <c r="J65" i="3"/>
  <c r="K18" i="13" s="1"/>
  <c r="J54" i="3"/>
  <c r="K7" i="13" s="1"/>
  <c r="J72" i="3"/>
  <c r="K25" i="13" s="1"/>
  <c r="J69" i="3"/>
  <c r="K24" i="13" s="1"/>
  <c r="J89" i="3"/>
  <c r="K42" i="13" s="1"/>
  <c r="J75" i="3"/>
  <c r="K29" i="13" s="1"/>
  <c r="J58" i="3"/>
  <c r="D60" i="3"/>
  <c r="N60" i="3"/>
  <c r="H86" i="3"/>
  <c r="L60" i="3"/>
  <c r="E60" i="3"/>
  <c r="G78" i="3"/>
  <c r="H32" i="13" s="1"/>
  <c r="G62" i="3"/>
  <c r="G56" i="3"/>
  <c r="H9" i="13" s="1"/>
  <c r="G63" i="3"/>
  <c r="G85" i="3"/>
  <c r="G66" i="3"/>
  <c r="H19" i="13" s="1"/>
  <c r="G67" i="3"/>
  <c r="H23" i="13" s="1"/>
  <c r="G39" i="3"/>
  <c r="G64" i="3"/>
  <c r="H17" i="13" s="1"/>
  <c r="G65" i="3"/>
  <c r="H18" i="13" s="1"/>
  <c r="G71" i="3"/>
  <c r="H26" i="13" s="1"/>
  <c r="G73" i="3"/>
  <c r="H27" i="13" s="1"/>
  <c r="G58" i="3"/>
  <c r="G59" i="3"/>
  <c r="H11" i="13" s="1"/>
  <c r="G70" i="3"/>
  <c r="H21" i="13" s="1"/>
  <c r="G89" i="3"/>
  <c r="H42" i="13" s="1"/>
  <c r="G83" i="3"/>
  <c r="H36" i="13" s="1"/>
  <c r="G61" i="3"/>
  <c r="H14" i="13" s="1"/>
  <c r="G55" i="3"/>
  <c r="H8" i="13" s="1"/>
  <c r="G79" i="3"/>
  <c r="H22" i="13" s="1"/>
  <c r="G81" i="3"/>
  <c r="H34" i="13" s="1"/>
  <c r="G82" i="3"/>
  <c r="H35" i="13" s="1"/>
  <c r="G74" i="3"/>
  <c r="H28" i="13" s="1"/>
  <c r="G69" i="3"/>
  <c r="H24" i="13" s="1"/>
  <c r="G68" i="3"/>
  <c r="H20" i="13" s="1"/>
  <c r="G54" i="3"/>
  <c r="H7" i="13" s="1"/>
  <c r="G57" i="3"/>
  <c r="H10" i="13" s="1"/>
  <c r="G72" i="3"/>
  <c r="H25" i="13" s="1"/>
  <c r="G77" i="3"/>
  <c r="H31" i="13" s="1"/>
  <c r="G76" i="3"/>
  <c r="H30" i="13" s="1"/>
  <c r="G75" i="3"/>
  <c r="H29" i="13" s="1"/>
  <c r="G80" i="3"/>
  <c r="H33" i="13" s="1"/>
  <c r="O15" i="3"/>
  <c r="O84" i="3" s="1"/>
  <c r="I78" i="3"/>
  <c r="J32" i="13" s="1"/>
  <c r="I63" i="3"/>
  <c r="I72" i="3"/>
  <c r="J25" i="13" s="1"/>
  <c r="I59" i="3"/>
  <c r="J11" i="13" s="1"/>
  <c r="I39" i="3"/>
  <c r="I85" i="3"/>
  <c r="I80" i="3"/>
  <c r="J33" i="13" s="1"/>
  <c r="I62" i="3"/>
  <c r="I82" i="3"/>
  <c r="J35" i="13" s="1"/>
  <c r="I79" i="3"/>
  <c r="J22" i="13" s="1"/>
  <c r="I57" i="3"/>
  <c r="J10" i="13" s="1"/>
  <c r="I55" i="3"/>
  <c r="J8" i="13" s="1"/>
  <c r="I83" i="3"/>
  <c r="J36" i="13" s="1"/>
  <c r="I76" i="3"/>
  <c r="J30" i="13" s="1"/>
  <c r="I61" i="3"/>
  <c r="J14" i="13" s="1"/>
  <c r="I75" i="3"/>
  <c r="J29" i="13" s="1"/>
  <c r="I66" i="3"/>
  <c r="J19" i="13" s="1"/>
  <c r="I56" i="3"/>
  <c r="J9" i="13" s="1"/>
  <c r="I68" i="3"/>
  <c r="J20" i="13" s="1"/>
  <c r="I64" i="3"/>
  <c r="J17" i="13" s="1"/>
  <c r="I70" i="3"/>
  <c r="J21" i="13" s="1"/>
  <c r="I89" i="3"/>
  <c r="J42" i="13" s="1"/>
  <c r="I58" i="3"/>
  <c r="I73" i="3"/>
  <c r="J27" i="13" s="1"/>
  <c r="I65" i="3"/>
  <c r="J18" i="13" s="1"/>
  <c r="I71" i="3"/>
  <c r="J26" i="13" s="1"/>
  <c r="I67" i="3"/>
  <c r="J23" i="13" s="1"/>
  <c r="I69" i="3"/>
  <c r="J24" i="13" s="1"/>
  <c r="I74" i="3"/>
  <c r="J28" i="13" s="1"/>
  <c r="I81" i="3"/>
  <c r="J34" i="13" s="1"/>
  <c r="I77" i="3"/>
  <c r="J31" i="13" s="1"/>
  <c r="I54" i="3"/>
  <c r="J7" i="13" s="1"/>
  <c r="D84" i="3"/>
  <c r="C85" i="3"/>
  <c r="C87" i="3"/>
  <c r="C70" i="3"/>
  <c r="D21" i="13" s="1"/>
  <c r="C39" i="3"/>
  <c r="C89" i="3"/>
  <c r="C78" i="3"/>
  <c r="C76" i="3"/>
  <c r="D30" i="13" s="1"/>
  <c r="C83" i="3"/>
  <c r="C54" i="3"/>
  <c r="D7" i="13" s="1"/>
  <c r="C80" i="3"/>
  <c r="D33" i="13" s="1"/>
  <c r="C62" i="3"/>
  <c r="C55" i="3"/>
  <c r="D8" i="13" s="1"/>
  <c r="C63" i="3"/>
  <c r="C61" i="3"/>
  <c r="D14" i="13" s="1"/>
  <c r="C74" i="3"/>
  <c r="C77" i="3"/>
  <c r="C68" i="3"/>
  <c r="C66" i="3"/>
  <c r="C65" i="3"/>
  <c r="C69" i="3"/>
  <c r="D24" i="13" s="1"/>
  <c r="C59" i="3"/>
  <c r="D11" i="13" s="1"/>
  <c r="C82" i="3"/>
  <c r="C73" i="3"/>
  <c r="D27" i="13" s="1"/>
  <c r="C64" i="3"/>
  <c r="D17" i="13" s="1"/>
  <c r="C58" i="3"/>
  <c r="C71" i="3"/>
  <c r="C79" i="3"/>
  <c r="C81" i="3"/>
  <c r="C72" i="3"/>
  <c r="D25" i="13" s="1"/>
  <c r="C75" i="3"/>
  <c r="C57" i="3"/>
  <c r="D10" i="13" s="1"/>
  <c r="C56" i="3"/>
  <c r="D9" i="13" s="1"/>
  <c r="C67" i="3"/>
  <c r="C84" i="3"/>
  <c r="J84" i="3"/>
  <c r="K85" i="3"/>
  <c r="K63" i="3"/>
  <c r="K54" i="3"/>
  <c r="L7" i="13" s="1"/>
  <c r="K58" i="3"/>
  <c r="K39" i="3"/>
  <c r="K83" i="3"/>
  <c r="L36" i="13" s="1"/>
  <c r="K89" i="3"/>
  <c r="K62" i="3"/>
  <c r="K78" i="3"/>
  <c r="L32" i="13" s="1"/>
  <c r="K77" i="3"/>
  <c r="K68" i="3"/>
  <c r="L20" i="13" s="1"/>
  <c r="K65" i="3"/>
  <c r="L18" i="13" s="1"/>
  <c r="K66" i="3"/>
  <c r="K70" i="3"/>
  <c r="K71" i="3"/>
  <c r="K79" i="3"/>
  <c r="L22" i="13" s="1"/>
  <c r="K67" i="3"/>
  <c r="K75" i="3"/>
  <c r="K73" i="3"/>
  <c r="L27" i="13" s="1"/>
  <c r="K57" i="3"/>
  <c r="K56" i="3"/>
  <c r="L9" i="13" s="1"/>
  <c r="K59" i="3"/>
  <c r="L11" i="13" s="1"/>
  <c r="K76" i="3"/>
  <c r="K55" i="3"/>
  <c r="L8" i="13" s="1"/>
  <c r="K74" i="3"/>
  <c r="K82" i="3"/>
  <c r="K80" i="3"/>
  <c r="L33" i="13" s="1"/>
  <c r="K69" i="3"/>
  <c r="K61" i="3"/>
  <c r="L14" i="13" s="1"/>
  <c r="K81" i="3"/>
  <c r="K72" i="3"/>
  <c r="K64" i="3"/>
  <c r="L17" i="13" s="1"/>
  <c r="C60" i="3"/>
  <c r="L84" i="3"/>
  <c r="F84" i="3"/>
  <c r="R78" i="3"/>
  <c r="R62" i="3"/>
  <c r="R24" i="12"/>
  <c r="R85" i="3"/>
  <c r="R63" i="3"/>
  <c r="R65" i="3"/>
  <c r="R36" i="11"/>
  <c r="U36" i="11" s="1"/>
  <c r="R79" i="3"/>
  <c r="R39" i="3"/>
  <c r="R71" i="3"/>
  <c r="W15" i="3"/>
  <c r="V15" i="3"/>
  <c r="U15" i="3"/>
  <c r="R70" i="3"/>
  <c r="S21" i="13" s="1"/>
  <c r="R80" i="3"/>
  <c r="R57" i="3"/>
  <c r="R81" i="3"/>
  <c r="R58" i="3"/>
  <c r="R75" i="3"/>
  <c r="R69" i="3"/>
  <c r="R72" i="3"/>
  <c r="S25" i="13" s="1"/>
  <c r="W25" i="13" s="1"/>
  <c r="R56" i="3"/>
  <c r="R61" i="3"/>
  <c r="S14" i="13" s="1"/>
  <c r="W14" i="13" s="1"/>
  <c r="R66" i="3"/>
  <c r="R77" i="3"/>
  <c r="R67" i="3"/>
  <c r="R76" i="3"/>
  <c r="R89" i="3"/>
  <c r="R59" i="3"/>
  <c r="S11" i="13" s="1"/>
  <c r="W11" i="13" s="1"/>
  <c r="S7" i="13"/>
  <c r="W7" i="13" s="1"/>
  <c r="R73" i="3"/>
  <c r="S27" i="13" s="1"/>
  <c r="W27" i="13" s="1"/>
  <c r="R68" i="3"/>
  <c r="S20" i="13" s="1"/>
  <c r="W20" i="13" s="1"/>
  <c r="R83" i="3"/>
  <c r="R82" i="3"/>
  <c r="R55" i="3"/>
  <c r="S8" i="13" s="1"/>
  <c r="W8" i="13" s="1"/>
  <c r="R74" i="3"/>
  <c r="R64" i="3"/>
  <c r="M84" i="3"/>
  <c r="T62" i="13" l="1"/>
  <c r="T86" i="13"/>
  <c r="S36" i="11"/>
  <c r="S24" i="12"/>
  <c r="S25" i="12" s="1"/>
  <c r="S27" i="12" s="1"/>
  <c r="S28" i="12" s="1"/>
  <c r="S29" i="12" s="1"/>
  <c r="AA14" i="3"/>
  <c r="T39" i="13"/>
  <c r="T88" i="13" s="1"/>
  <c r="T64" i="13"/>
  <c r="T61" i="13"/>
  <c r="T72" i="13"/>
  <c r="T76" i="13"/>
  <c r="T75" i="13"/>
  <c r="T67" i="13"/>
  <c r="T73" i="13"/>
  <c r="T68" i="13"/>
  <c r="T59" i="13"/>
  <c r="T77" i="13"/>
  <c r="T56" i="13"/>
  <c r="T58" i="13"/>
  <c r="T78" i="13"/>
  <c r="T70" i="13"/>
  <c r="T79" i="13"/>
  <c r="T84" i="13"/>
  <c r="T69" i="13"/>
  <c r="T60" i="13"/>
  <c r="T74" i="13"/>
  <c r="T57" i="13"/>
  <c r="T71" i="13"/>
  <c r="T85" i="13"/>
  <c r="T82" i="13"/>
  <c r="T63" i="13"/>
  <c r="T83" i="13"/>
  <c r="T80" i="13"/>
  <c r="T81" i="13"/>
  <c r="T66" i="13"/>
  <c r="T91" i="13"/>
  <c r="S18" i="13"/>
  <c r="S41" i="3"/>
  <c r="S43" i="3" s="1"/>
  <c r="T40" i="13"/>
  <c r="S37" i="11"/>
  <c r="S39" i="11" s="1"/>
  <c r="S40" i="11" s="1"/>
  <c r="S41" i="11" s="1"/>
  <c r="U45" i="13"/>
  <c r="U94" i="13" s="1"/>
  <c r="U92" i="13"/>
  <c r="R43" i="13"/>
  <c r="R90" i="13"/>
  <c r="C27" i="12"/>
  <c r="C54" i="12"/>
  <c r="P28" i="12"/>
  <c r="P57" i="12" s="1"/>
  <c r="P56" i="12"/>
  <c r="Q29" i="12"/>
  <c r="Q58" i="12" s="1"/>
  <c r="Q56" i="12"/>
  <c r="N27" i="12"/>
  <c r="N54" i="12"/>
  <c r="O31" i="13"/>
  <c r="O26" i="13"/>
  <c r="S26" i="13"/>
  <c r="D23" i="13"/>
  <c r="D20" i="13"/>
  <c r="S31" i="13"/>
  <c r="W31" i="13" s="1"/>
  <c r="S34" i="13"/>
  <c r="S10" i="13"/>
  <c r="W10" i="13" s="1"/>
  <c r="S22" i="13"/>
  <c r="L10" i="13"/>
  <c r="L13" i="13" s="1"/>
  <c r="L26" i="13"/>
  <c r="L30" i="13"/>
  <c r="D26" i="13"/>
  <c r="D19" i="13"/>
  <c r="N35" i="13"/>
  <c r="L24" i="13"/>
  <c r="D35" i="13"/>
  <c r="D32" i="13"/>
  <c r="F9" i="13"/>
  <c r="O9" i="13"/>
  <c r="O14" i="13"/>
  <c r="F34" i="13"/>
  <c r="D36" i="13"/>
  <c r="F21" i="13"/>
  <c r="F10" i="13"/>
  <c r="D29" i="13"/>
  <c r="O36" i="13"/>
  <c r="N30" i="13"/>
  <c r="L35" i="13"/>
  <c r="S17" i="13"/>
  <c r="L28" i="13"/>
  <c r="L23" i="13"/>
  <c r="F14" i="13"/>
  <c r="O25" i="13"/>
  <c r="N17" i="13"/>
  <c r="O34" i="13"/>
  <c r="S24" i="13"/>
  <c r="O29" i="13"/>
  <c r="F42" i="13"/>
  <c r="O77" i="11"/>
  <c r="S9" i="13"/>
  <c r="W9" i="13" s="1"/>
  <c r="D18" i="13"/>
  <c r="S30" i="13"/>
  <c r="S29" i="13"/>
  <c r="F25" i="13"/>
  <c r="N18" i="13"/>
  <c r="N20" i="13"/>
  <c r="S19" i="13"/>
  <c r="D28" i="13"/>
  <c r="S33" i="13"/>
  <c r="W33" i="13" s="1"/>
  <c r="S35" i="13"/>
  <c r="W35" i="13" s="1"/>
  <c r="F30" i="13"/>
  <c r="P30" i="13" s="1"/>
  <c r="N25" i="13"/>
  <c r="N31" i="13"/>
  <c r="I37" i="13"/>
  <c r="I13" i="13"/>
  <c r="I15" i="13" s="1"/>
  <c r="I59" i="13" s="1"/>
  <c r="S28" i="13"/>
  <c r="S42" i="13"/>
  <c r="W42" i="13" s="1"/>
  <c r="D22" i="13"/>
  <c r="F24" i="13"/>
  <c r="F23" i="13"/>
  <c r="O17" i="13"/>
  <c r="N34" i="13"/>
  <c r="N27" i="13"/>
  <c r="P27" i="13" s="1"/>
  <c r="N21" i="13"/>
  <c r="N37" i="11"/>
  <c r="N79" i="11"/>
  <c r="N22" i="13"/>
  <c r="O24" i="13"/>
  <c r="N28" i="13"/>
  <c r="C37" i="11"/>
  <c r="C79" i="11"/>
  <c r="N29" i="13"/>
  <c r="L25" i="13"/>
  <c r="L34" i="13"/>
  <c r="L21" i="13"/>
  <c r="F22" i="13"/>
  <c r="O10" i="13"/>
  <c r="L31" i="13"/>
  <c r="D42" i="13"/>
  <c r="D34" i="13"/>
  <c r="F20" i="13"/>
  <c r="O19" i="13"/>
  <c r="L42" i="13"/>
  <c r="S23" i="13"/>
  <c r="S36" i="13"/>
  <c r="W36" i="13" s="1"/>
  <c r="L19" i="13"/>
  <c r="D31" i="13"/>
  <c r="F18" i="13"/>
  <c r="F35" i="13"/>
  <c r="O18" i="13"/>
  <c r="O23" i="13"/>
  <c r="N24" i="13"/>
  <c r="N32" i="13"/>
  <c r="O55" i="11"/>
  <c r="O35" i="11"/>
  <c r="O79" i="11" s="1"/>
  <c r="O78" i="11"/>
  <c r="O56" i="11"/>
  <c r="O54" i="11"/>
  <c r="O72" i="11"/>
  <c r="O70" i="11"/>
  <c r="O69" i="11"/>
  <c r="O51" i="11"/>
  <c r="O52" i="11"/>
  <c r="O60" i="11"/>
  <c r="O57" i="11"/>
  <c r="O64" i="11"/>
  <c r="O65" i="11"/>
  <c r="O63" i="11"/>
  <c r="O58" i="11"/>
  <c r="O76" i="11"/>
  <c r="O68" i="11"/>
  <c r="O66" i="11"/>
  <c r="O74" i="11"/>
  <c r="O73" i="11"/>
  <c r="O59" i="11"/>
  <c r="O75" i="11"/>
  <c r="O62" i="11"/>
  <c r="O71" i="11"/>
  <c r="O67" i="11"/>
  <c r="O61" i="11"/>
  <c r="O82" i="11"/>
  <c r="L29" i="13"/>
  <c r="W35" i="11"/>
  <c r="V35" i="11"/>
  <c r="R79" i="11"/>
  <c r="U35" i="11"/>
  <c r="F28" i="13"/>
  <c r="O32" i="13"/>
  <c r="N19" i="13"/>
  <c r="P90" i="3"/>
  <c r="P45" i="3"/>
  <c r="P92" i="3" s="1"/>
  <c r="O60" i="3"/>
  <c r="X21" i="13"/>
  <c r="M13" i="13"/>
  <c r="P8" i="13"/>
  <c r="C86" i="3"/>
  <c r="C41" i="3"/>
  <c r="I86" i="3"/>
  <c r="P11" i="13"/>
  <c r="K37" i="13"/>
  <c r="J37" i="13"/>
  <c r="E86" i="3"/>
  <c r="N13" i="13"/>
  <c r="G86" i="3"/>
  <c r="D86" i="3"/>
  <c r="X25" i="13"/>
  <c r="R87" i="3"/>
  <c r="W40" i="3"/>
  <c r="V40" i="3"/>
  <c r="U40" i="3"/>
  <c r="P33" i="13"/>
  <c r="L86" i="3"/>
  <c r="E13" i="13"/>
  <c r="V13" i="13" s="1"/>
  <c r="I68" i="13"/>
  <c r="I69" i="13"/>
  <c r="U24" i="12"/>
  <c r="R25" i="12"/>
  <c r="V24" i="12"/>
  <c r="W24" i="12"/>
  <c r="R53" i="12"/>
  <c r="P7" i="13"/>
  <c r="D13" i="13"/>
  <c r="K13" i="13"/>
  <c r="J86" i="3"/>
  <c r="E37" i="13"/>
  <c r="V37" i="13" s="1"/>
  <c r="M86" i="3"/>
  <c r="F86" i="3"/>
  <c r="R41" i="3"/>
  <c r="V39" i="3"/>
  <c r="U39" i="3"/>
  <c r="R86" i="3"/>
  <c r="W39" i="3"/>
  <c r="K86" i="3"/>
  <c r="N41" i="3"/>
  <c r="N86" i="3"/>
  <c r="G13" i="13"/>
  <c r="X20" i="13"/>
  <c r="J13" i="13"/>
  <c r="O78" i="3"/>
  <c r="O85" i="3"/>
  <c r="O39" i="3"/>
  <c r="O62" i="3"/>
  <c r="O63" i="3"/>
  <c r="O82" i="3"/>
  <c r="O59" i="3"/>
  <c r="O89" i="3"/>
  <c r="O71" i="3"/>
  <c r="O66" i="3"/>
  <c r="O72" i="3"/>
  <c r="O74" i="3"/>
  <c r="O69" i="3"/>
  <c r="O67" i="3"/>
  <c r="O65" i="3"/>
  <c r="O57" i="3"/>
  <c r="O77" i="3"/>
  <c r="O56" i="3"/>
  <c r="O70" i="3"/>
  <c r="O58" i="3"/>
  <c r="O61" i="3"/>
  <c r="O81" i="3"/>
  <c r="O79" i="3"/>
  <c r="O68" i="3"/>
  <c r="O80" i="3"/>
  <c r="O64" i="3"/>
  <c r="O55" i="3"/>
  <c r="O83" i="3"/>
  <c r="O75" i="3"/>
  <c r="O76" i="3"/>
  <c r="O73" i="3"/>
  <c r="O54" i="3"/>
  <c r="H13" i="13"/>
  <c r="X27" i="13"/>
  <c r="X14" i="13"/>
  <c r="R80" i="11"/>
  <c r="W36" i="11"/>
  <c r="V36" i="11"/>
  <c r="R37" i="11"/>
  <c r="H37" i="13"/>
  <c r="M37" i="13"/>
  <c r="G37" i="13"/>
  <c r="X19" i="13" l="1"/>
  <c r="W19" i="13"/>
  <c r="R47" i="3"/>
  <c r="X28" i="13"/>
  <c r="W28" i="13"/>
  <c r="X22" i="13"/>
  <c r="W22" i="13"/>
  <c r="X18" i="13"/>
  <c r="W18" i="13"/>
  <c r="X34" i="13"/>
  <c r="W34" i="13"/>
  <c r="X29" i="13"/>
  <c r="W29" i="13"/>
  <c r="X30" i="13"/>
  <c r="W30" i="13"/>
  <c r="X17" i="13"/>
  <c r="W17" i="13"/>
  <c r="X26" i="13"/>
  <c r="W26" i="13"/>
  <c r="X23" i="13"/>
  <c r="W23" i="13"/>
  <c r="X24" i="13"/>
  <c r="W24" i="13"/>
  <c r="T41" i="13"/>
  <c r="T89" i="13"/>
  <c r="S13" i="13"/>
  <c r="W13" i="13" s="1"/>
  <c r="R92" i="13"/>
  <c r="R45" i="13"/>
  <c r="R94" i="13" s="1"/>
  <c r="S44" i="3"/>
  <c r="S45" i="3" s="1"/>
  <c r="P29" i="12"/>
  <c r="P58" i="12" s="1"/>
  <c r="P14" i="13"/>
  <c r="N56" i="12"/>
  <c r="N28" i="12"/>
  <c r="N57" i="12" s="1"/>
  <c r="X31" i="13"/>
  <c r="C56" i="12"/>
  <c r="C28" i="12"/>
  <c r="C57" i="12" s="1"/>
  <c r="P26" i="13"/>
  <c r="P9" i="13"/>
  <c r="I91" i="13"/>
  <c r="P20" i="13"/>
  <c r="F13" i="13"/>
  <c r="F15" i="13" s="1"/>
  <c r="P24" i="13"/>
  <c r="P36" i="13"/>
  <c r="P35" i="13"/>
  <c r="P25" i="13"/>
  <c r="P10" i="13"/>
  <c r="P21" i="13"/>
  <c r="P34" i="13"/>
  <c r="P22" i="13"/>
  <c r="P31" i="13"/>
  <c r="O13" i="13"/>
  <c r="X33" i="13"/>
  <c r="P23" i="13"/>
  <c r="P42" i="13"/>
  <c r="P17" i="13"/>
  <c r="P29" i="13"/>
  <c r="N37" i="13"/>
  <c r="X35" i="13"/>
  <c r="X42" i="13"/>
  <c r="F37" i="13"/>
  <c r="P32" i="13"/>
  <c r="P18" i="13"/>
  <c r="P28" i="13"/>
  <c r="L37" i="13"/>
  <c r="O37" i="13"/>
  <c r="I77" i="13"/>
  <c r="P19" i="13"/>
  <c r="C39" i="11"/>
  <c r="C81" i="11"/>
  <c r="I76" i="13"/>
  <c r="I70" i="13"/>
  <c r="I84" i="13"/>
  <c r="I78" i="13"/>
  <c r="I67" i="13"/>
  <c r="I56" i="13"/>
  <c r="I73" i="13"/>
  <c r="S37" i="13"/>
  <c r="X37" i="13" s="1"/>
  <c r="I62" i="13"/>
  <c r="I81" i="13"/>
  <c r="I63" i="13"/>
  <c r="V42" i="13"/>
  <c r="D37" i="13"/>
  <c r="I79" i="13"/>
  <c r="I85" i="13"/>
  <c r="I66" i="13"/>
  <c r="I82" i="13"/>
  <c r="I72" i="13"/>
  <c r="I61" i="13"/>
  <c r="X36" i="13"/>
  <c r="I60" i="13"/>
  <c r="I80" i="13"/>
  <c r="I74" i="13"/>
  <c r="I39" i="13"/>
  <c r="I88" i="13" s="1"/>
  <c r="I58" i="13"/>
  <c r="I57" i="13"/>
  <c r="I75" i="13"/>
  <c r="N81" i="11"/>
  <c r="N39" i="11"/>
  <c r="I71" i="13"/>
  <c r="I83" i="13"/>
  <c r="C43" i="3"/>
  <c r="C88" i="3"/>
  <c r="O86" i="3"/>
  <c r="H15" i="13"/>
  <c r="H62" i="13" s="1"/>
  <c r="E15" i="13"/>
  <c r="V15" i="13" s="1"/>
  <c r="N15" i="13"/>
  <c r="K15" i="13"/>
  <c r="K62" i="13" s="1"/>
  <c r="G15" i="13"/>
  <c r="G62" i="13" s="1"/>
  <c r="V37" i="11"/>
  <c r="R39" i="11"/>
  <c r="W37" i="11"/>
  <c r="R81" i="11"/>
  <c r="U37" i="11"/>
  <c r="J15" i="13"/>
  <c r="J62" i="13" s="1"/>
  <c r="N88" i="3"/>
  <c r="N43" i="3"/>
  <c r="R54" i="12"/>
  <c r="W25" i="12"/>
  <c r="V25" i="12"/>
  <c r="U25" i="12"/>
  <c r="R27" i="12"/>
  <c r="S15" i="13"/>
  <c r="W15" i="13" s="1"/>
  <c r="R88" i="3"/>
  <c r="R43" i="3"/>
  <c r="W41" i="3"/>
  <c r="V41" i="3"/>
  <c r="U41" i="3"/>
  <c r="M15" i="13"/>
  <c r="D15" i="13"/>
  <c r="D62" i="13" s="1"/>
  <c r="L15" i="13"/>
  <c r="S62" i="13" l="1"/>
  <c r="T43" i="13"/>
  <c r="T90" i="13"/>
  <c r="X13" i="13"/>
  <c r="C29" i="12"/>
  <c r="C58" i="12" s="1"/>
  <c r="N29" i="12"/>
  <c r="N58" i="12" s="1"/>
  <c r="P13" i="13"/>
  <c r="P15" i="13" s="1"/>
  <c r="O15" i="13"/>
  <c r="O62" i="13" s="1"/>
  <c r="W37" i="13"/>
  <c r="S86" i="13"/>
  <c r="I64" i="13"/>
  <c r="P37" i="13"/>
  <c r="I86" i="13"/>
  <c r="C83" i="11"/>
  <c r="C40" i="11"/>
  <c r="C84" i="11" s="1"/>
  <c r="N40" i="11"/>
  <c r="N84" i="11" s="1"/>
  <c r="N41" i="11"/>
  <c r="N85" i="11" s="1"/>
  <c r="N83" i="11"/>
  <c r="W40" i="13"/>
  <c r="X40" i="13"/>
  <c r="S89" i="13"/>
  <c r="R28" i="12"/>
  <c r="R29" i="12" s="1"/>
  <c r="V27" i="12"/>
  <c r="R56" i="12"/>
  <c r="W27" i="12"/>
  <c r="U27" i="12"/>
  <c r="E39" i="13"/>
  <c r="E61" i="13"/>
  <c r="E71" i="13"/>
  <c r="E83" i="13"/>
  <c r="E56" i="13"/>
  <c r="E76" i="13"/>
  <c r="E80" i="13"/>
  <c r="E81" i="13"/>
  <c r="E82" i="13"/>
  <c r="E70" i="13"/>
  <c r="E85" i="13"/>
  <c r="E67" i="13"/>
  <c r="E57" i="13"/>
  <c r="E84" i="13"/>
  <c r="E75" i="13"/>
  <c r="E74" i="13"/>
  <c r="E69" i="13"/>
  <c r="E66" i="13"/>
  <c r="E58" i="13"/>
  <c r="E60" i="13"/>
  <c r="E68" i="13"/>
  <c r="E91" i="13"/>
  <c r="E63" i="13"/>
  <c r="E77" i="13"/>
  <c r="E79" i="13"/>
  <c r="E59" i="13"/>
  <c r="E73" i="13"/>
  <c r="E72" i="13"/>
  <c r="E78" i="13"/>
  <c r="E62" i="13"/>
  <c r="M39" i="13"/>
  <c r="M61" i="13"/>
  <c r="M74" i="13"/>
  <c r="M72" i="13"/>
  <c r="M77" i="13"/>
  <c r="M82" i="13"/>
  <c r="M56" i="13"/>
  <c r="M80" i="13"/>
  <c r="M63" i="13"/>
  <c r="M70" i="13"/>
  <c r="M67" i="13"/>
  <c r="M60" i="13"/>
  <c r="M91" i="13"/>
  <c r="M69" i="13"/>
  <c r="M76" i="13"/>
  <c r="M78" i="13"/>
  <c r="M85" i="13"/>
  <c r="M75" i="13"/>
  <c r="M84" i="13"/>
  <c r="M79" i="13"/>
  <c r="M81" i="13"/>
  <c r="M68" i="13"/>
  <c r="M71" i="13"/>
  <c r="M57" i="13"/>
  <c r="M83" i="13"/>
  <c r="M73" i="13"/>
  <c r="M59" i="13"/>
  <c r="M58" i="13"/>
  <c r="M66" i="13"/>
  <c r="N44" i="3"/>
  <c r="N91" i="3" s="1"/>
  <c r="N90" i="3"/>
  <c r="H39" i="13"/>
  <c r="H61" i="13"/>
  <c r="H63" i="13"/>
  <c r="H64" i="13" s="1"/>
  <c r="H84" i="13"/>
  <c r="H59" i="13"/>
  <c r="H81" i="13"/>
  <c r="H60" i="13"/>
  <c r="H57" i="13"/>
  <c r="H67" i="13"/>
  <c r="H73" i="13"/>
  <c r="H68" i="13"/>
  <c r="H75" i="13"/>
  <c r="H69" i="13"/>
  <c r="H79" i="13"/>
  <c r="H83" i="13"/>
  <c r="H78" i="13"/>
  <c r="H58" i="13"/>
  <c r="H66" i="13"/>
  <c r="H77" i="13"/>
  <c r="H91" i="13"/>
  <c r="H74" i="13"/>
  <c r="H80" i="13"/>
  <c r="H82" i="13"/>
  <c r="H70" i="13"/>
  <c r="H71" i="13"/>
  <c r="H85" i="13"/>
  <c r="H72" i="13"/>
  <c r="H76" i="13"/>
  <c r="H56" i="13"/>
  <c r="L39" i="13"/>
  <c r="L61" i="13"/>
  <c r="L73" i="13"/>
  <c r="L70" i="13"/>
  <c r="L74" i="13"/>
  <c r="L85" i="13"/>
  <c r="L67" i="13"/>
  <c r="L57" i="13"/>
  <c r="L79" i="13"/>
  <c r="L63" i="13"/>
  <c r="L60" i="13"/>
  <c r="L80" i="13"/>
  <c r="L77" i="13"/>
  <c r="L75" i="13"/>
  <c r="L82" i="13"/>
  <c r="L76" i="13"/>
  <c r="L59" i="13"/>
  <c r="L72" i="13"/>
  <c r="L66" i="13"/>
  <c r="L91" i="13"/>
  <c r="L83" i="13"/>
  <c r="L58" i="13"/>
  <c r="L68" i="13"/>
  <c r="L81" i="13"/>
  <c r="L71" i="13"/>
  <c r="L69" i="13"/>
  <c r="L78" i="13"/>
  <c r="L84" i="13"/>
  <c r="L56" i="13"/>
  <c r="L62" i="13"/>
  <c r="F39" i="13"/>
  <c r="F61" i="13"/>
  <c r="F66" i="13"/>
  <c r="F75" i="13"/>
  <c r="F84" i="13"/>
  <c r="F81" i="13"/>
  <c r="F69" i="13"/>
  <c r="F73" i="13"/>
  <c r="F77" i="13"/>
  <c r="F72" i="13"/>
  <c r="F60" i="13"/>
  <c r="F56" i="13"/>
  <c r="F68" i="13"/>
  <c r="F91" i="13"/>
  <c r="F71" i="13"/>
  <c r="F85" i="13"/>
  <c r="F74" i="13"/>
  <c r="F70" i="13"/>
  <c r="F76" i="13"/>
  <c r="F83" i="13"/>
  <c r="F59" i="13"/>
  <c r="F67" i="13"/>
  <c r="F57" i="13"/>
  <c r="F63" i="13"/>
  <c r="F80" i="13"/>
  <c r="F78" i="13"/>
  <c r="F82" i="13"/>
  <c r="F58" i="13"/>
  <c r="F79" i="13"/>
  <c r="C90" i="3"/>
  <c r="C44" i="3"/>
  <c r="F62" i="13"/>
  <c r="R90" i="3"/>
  <c r="W43" i="3"/>
  <c r="V43" i="3"/>
  <c r="U43" i="3"/>
  <c r="R44" i="3"/>
  <c r="R40" i="11"/>
  <c r="R41" i="11" s="1"/>
  <c r="V39" i="11"/>
  <c r="U39" i="11"/>
  <c r="W39" i="11"/>
  <c r="R83" i="11"/>
  <c r="N39" i="13"/>
  <c r="N61" i="13"/>
  <c r="N84" i="13"/>
  <c r="N66" i="13"/>
  <c r="N71" i="13"/>
  <c r="N73" i="13"/>
  <c r="N74" i="13"/>
  <c r="N68" i="13"/>
  <c r="N79" i="13"/>
  <c r="N63" i="13"/>
  <c r="N58" i="13"/>
  <c r="N81" i="13"/>
  <c r="N56" i="13"/>
  <c r="N59" i="13"/>
  <c r="N67" i="13"/>
  <c r="N72" i="13"/>
  <c r="N57" i="13"/>
  <c r="N85" i="13"/>
  <c r="N60" i="13"/>
  <c r="N78" i="13"/>
  <c r="N83" i="13"/>
  <c r="N77" i="13"/>
  <c r="N70" i="13"/>
  <c r="N91" i="13"/>
  <c r="N80" i="13"/>
  <c r="N75" i="13"/>
  <c r="N82" i="13"/>
  <c r="N76" i="13"/>
  <c r="N69" i="13"/>
  <c r="D89" i="13"/>
  <c r="D39" i="13"/>
  <c r="D61" i="13"/>
  <c r="D80" i="13"/>
  <c r="D81" i="13"/>
  <c r="D73" i="13"/>
  <c r="D70" i="13"/>
  <c r="D91" i="13"/>
  <c r="D79" i="13"/>
  <c r="D82" i="13"/>
  <c r="D72" i="13"/>
  <c r="D85" i="13"/>
  <c r="D59" i="13"/>
  <c r="D84" i="13"/>
  <c r="D56" i="13"/>
  <c r="D77" i="13"/>
  <c r="D57" i="13"/>
  <c r="D58" i="13"/>
  <c r="D60" i="13"/>
  <c r="D74" i="13"/>
  <c r="D68" i="13"/>
  <c r="D66" i="13"/>
  <c r="D71" i="13"/>
  <c r="D69" i="13"/>
  <c r="D76" i="13"/>
  <c r="D75" i="13"/>
  <c r="D63" i="13"/>
  <c r="D64" i="13" s="1"/>
  <c r="D83" i="13"/>
  <c r="D67" i="13"/>
  <c r="D78" i="13"/>
  <c r="S81" i="13"/>
  <c r="S87" i="13"/>
  <c r="X15" i="13"/>
  <c r="S64" i="13"/>
  <c r="S39" i="13"/>
  <c r="S61" i="13"/>
  <c r="S70" i="13"/>
  <c r="S69" i="13"/>
  <c r="S84" i="13"/>
  <c r="S56" i="13"/>
  <c r="S73" i="13"/>
  <c r="S67" i="13"/>
  <c r="S72" i="13"/>
  <c r="S91" i="13"/>
  <c r="S85" i="13"/>
  <c r="S82" i="13"/>
  <c r="S75" i="13"/>
  <c r="S78" i="13"/>
  <c r="S58" i="13"/>
  <c r="S60" i="13"/>
  <c r="S79" i="13"/>
  <c r="S71" i="13"/>
  <c r="S68" i="13"/>
  <c r="S76" i="13"/>
  <c r="S59" i="13"/>
  <c r="S74" i="13"/>
  <c r="S80" i="13"/>
  <c r="S83" i="13"/>
  <c r="S77" i="13"/>
  <c r="S57" i="13"/>
  <c r="S66" i="13"/>
  <c r="S63" i="13"/>
  <c r="K39" i="13"/>
  <c r="K61" i="13"/>
  <c r="K83" i="13"/>
  <c r="K91" i="13"/>
  <c r="K81" i="13"/>
  <c r="K79" i="13"/>
  <c r="K58" i="13"/>
  <c r="K74" i="13"/>
  <c r="K85" i="13"/>
  <c r="K72" i="13"/>
  <c r="K68" i="13"/>
  <c r="K70" i="13"/>
  <c r="K63" i="13"/>
  <c r="K64" i="13" s="1"/>
  <c r="K57" i="13"/>
  <c r="K71" i="13"/>
  <c r="K66" i="13"/>
  <c r="K73" i="13"/>
  <c r="K60" i="13"/>
  <c r="K59" i="13"/>
  <c r="K77" i="13"/>
  <c r="K84" i="13"/>
  <c r="K56" i="13"/>
  <c r="K82" i="13"/>
  <c r="K80" i="13"/>
  <c r="K67" i="13"/>
  <c r="K69" i="13"/>
  <c r="K76" i="13"/>
  <c r="K75" i="13"/>
  <c r="K78" i="13"/>
  <c r="M62" i="13"/>
  <c r="J39" i="13"/>
  <c r="J61" i="13"/>
  <c r="J70" i="13"/>
  <c r="J85" i="13"/>
  <c r="J91" i="13"/>
  <c r="J75" i="13"/>
  <c r="J73" i="13"/>
  <c r="J58" i="13"/>
  <c r="J63" i="13"/>
  <c r="J64" i="13" s="1"/>
  <c r="J82" i="13"/>
  <c r="J84" i="13"/>
  <c r="J66" i="13"/>
  <c r="J79" i="13"/>
  <c r="J72" i="13"/>
  <c r="J71" i="13"/>
  <c r="J56" i="13"/>
  <c r="J81" i="13"/>
  <c r="J83" i="13"/>
  <c r="J69" i="13"/>
  <c r="J67" i="13"/>
  <c r="J76" i="13"/>
  <c r="J80" i="13"/>
  <c r="J57" i="13"/>
  <c r="J59" i="13"/>
  <c r="J68" i="13"/>
  <c r="J78" i="13"/>
  <c r="J77" i="13"/>
  <c r="J60" i="13"/>
  <c r="J74" i="13"/>
  <c r="G39" i="13"/>
  <c r="G61" i="13"/>
  <c r="G67" i="13"/>
  <c r="G74" i="13"/>
  <c r="G66" i="13"/>
  <c r="G72" i="13"/>
  <c r="G60" i="13"/>
  <c r="G81" i="13"/>
  <c r="G70" i="13"/>
  <c r="G83" i="13"/>
  <c r="G78" i="13"/>
  <c r="G82" i="13"/>
  <c r="G91" i="13"/>
  <c r="G76" i="13"/>
  <c r="G69" i="13"/>
  <c r="G63" i="13"/>
  <c r="G64" i="13" s="1"/>
  <c r="G84" i="13"/>
  <c r="G75" i="13"/>
  <c r="G59" i="13"/>
  <c r="G79" i="13"/>
  <c r="G71" i="13"/>
  <c r="G85" i="13"/>
  <c r="G80" i="13"/>
  <c r="G57" i="13"/>
  <c r="G56" i="13"/>
  <c r="G58" i="13"/>
  <c r="G73" i="13"/>
  <c r="G77" i="13"/>
  <c r="G68" i="13"/>
  <c r="N62" i="13"/>
  <c r="T44" i="13" l="1"/>
  <c r="T92" i="13"/>
  <c r="O82" i="13"/>
  <c r="O78" i="13"/>
  <c r="O69" i="13"/>
  <c r="O59" i="13"/>
  <c r="O91" i="13"/>
  <c r="O74" i="13"/>
  <c r="O89" i="13"/>
  <c r="O75" i="13"/>
  <c r="O83" i="13"/>
  <c r="O68" i="13"/>
  <c r="O84" i="13"/>
  <c r="O56" i="13"/>
  <c r="O85" i="13"/>
  <c r="O63" i="13"/>
  <c r="O64" i="13" s="1"/>
  <c r="O60" i="13"/>
  <c r="O70" i="13"/>
  <c r="O66" i="13"/>
  <c r="O81" i="13"/>
  <c r="O61" i="13"/>
  <c r="O72" i="13"/>
  <c r="O80" i="13"/>
  <c r="O71" i="13"/>
  <c r="O77" i="13"/>
  <c r="O39" i="13"/>
  <c r="O41" i="13" s="1"/>
  <c r="O58" i="13"/>
  <c r="O73" i="13"/>
  <c r="O76" i="13"/>
  <c r="O79" i="13"/>
  <c r="O67" i="13"/>
  <c r="O57" i="13"/>
  <c r="C41" i="11"/>
  <c r="C85" i="11" s="1"/>
  <c r="E64" i="13"/>
  <c r="M86" i="13"/>
  <c r="L64" i="13"/>
  <c r="M64" i="13"/>
  <c r="V29" i="12"/>
  <c r="R58" i="12"/>
  <c r="U29" i="12"/>
  <c r="W29" i="12"/>
  <c r="C91" i="3"/>
  <c r="J86" i="13"/>
  <c r="H24" i="12"/>
  <c r="L36" i="11"/>
  <c r="D36" i="11"/>
  <c r="G24" i="12"/>
  <c r="I36" i="11"/>
  <c r="F24" i="12"/>
  <c r="M36" i="11"/>
  <c r="M24" i="12"/>
  <c r="H36" i="11"/>
  <c r="F40" i="3"/>
  <c r="J36" i="11"/>
  <c r="E40" i="3"/>
  <c r="G36" i="11"/>
  <c r="M40" i="3"/>
  <c r="D40" i="3"/>
  <c r="K24" i="12"/>
  <c r="E36" i="11"/>
  <c r="K40" i="3"/>
  <c r="J24" i="12"/>
  <c r="J40" i="3"/>
  <c r="L24" i="12"/>
  <c r="L40" i="3"/>
  <c r="I24" i="12"/>
  <c r="I40" i="3"/>
  <c r="E24" i="12"/>
  <c r="H40" i="3"/>
  <c r="F36" i="11"/>
  <c r="K36" i="11"/>
  <c r="G40" i="3"/>
  <c r="D24" i="12"/>
  <c r="P39" i="13"/>
  <c r="P61" i="13"/>
  <c r="P66" i="13"/>
  <c r="P63" i="13"/>
  <c r="P57" i="13"/>
  <c r="P70" i="13"/>
  <c r="P60" i="13"/>
  <c r="P84" i="13"/>
  <c r="P80" i="13"/>
  <c r="P73" i="13"/>
  <c r="P91" i="13"/>
  <c r="P67" i="13"/>
  <c r="P76" i="13"/>
  <c r="P79" i="13"/>
  <c r="P58" i="13"/>
  <c r="P78" i="13"/>
  <c r="P74" i="13"/>
  <c r="P59" i="13"/>
  <c r="P72" i="13"/>
  <c r="P69" i="13"/>
  <c r="P68" i="13"/>
  <c r="P71" i="13"/>
  <c r="P75" i="13"/>
  <c r="P85" i="13"/>
  <c r="P83" i="13"/>
  <c r="P81" i="13"/>
  <c r="P56" i="13"/>
  <c r="P77" i="13"/>
  <c r="P82" i="13"/>
  <c r="H86" i="13"/>
  <c r="E86" i="13"/>
  <c r="H88" i="13"/>
  <c r="E88" i="13"/>
  <c r="G86" i="13"/>
  <c r="L86" i="13"/>
  <c r="J88" i="13"/>
  <c r="S88" i="13"/>
  <c r="V39" i="13"/>
  <c r="X39" i="13"/>
  <c r="S41" i="13"/>
  <c r="F86" i="13"/>
  <c r="N45" i="3"/>
  <c r="N92" i="3" s="1"/>
  <c r="M88" i="13"/>
  <c r="G88" i="13"/>
  <c r="R91" i="3"/>
  <c r="U44" i="3"/>
  <c r="V44" i="3"/>
  <c r="W44" i="3"/>
  <c r="K86" i="13"/>
  <c r="N64" i="13"/>
  <c r="P62" i="13"/>
  <c r="D86" i="13"/>
  <c r="R45" i="3"/>
  <c r="N86" i="13"/>
  <c r="L88" i="13"/>
  <c r="W40" i="11"/>
  <c r="V40" i="11"/>
  <c r="U40" i="11"/>
  <c r="R84" i="11"/>
  <c r="F64" i="13"/>
  <c r="F88" i="13"/>
  <c r="D88" i="13"/>
  <c r="D41" i="13"/>
  <c r="W41" i="11"/>
  <c r="V41" i="11"/>
  <c r="R85" i="11"/>
  <c r="C45" i="3"/>
  <c r="C92" i="3" s="1"/>
  <c r="N88" i="13"/>
  <c r="R57" i="12"/>
  <c r="V28" i="12"/>
  <c r="W28" i="12"/>
  <c r="U28" i="12"/>
  <c r="K88" i="13"/>
  <c r="T45" i="13" l="1"/>
  <c r="T94" i="13" s="1"/>
  <c r="T93" i="13"/>
  <c r="O86" i="13"/>
  <c r="W39" i="13"/>
  <c r="O88" i="13"/>
  <c r="U41" i="11"/>
  <c r="P64" i="13"/>
  <c r="K37" i="11"/>
  <c r="K80" i="11"/>
  <c r="E87" i="3"/>
  <c r="E41" i="3"/>
  <c r="E53" i="12"/>
  <c r="E25" i="12"/>
  <c r="H80" i="11"/>
  <c r="H37" i="11"/>
  <c r="I87" i="3"/>
  <c r="I41" i="3"/>
  <c r="K53" i="12"/>
  <c r="K25" i="12"/>
  <c r="D90" i="13"/>
  <c r="D43" i="13"/>
  <c r="P88" i="13"/>
  <c r="I53" i="12"/>
  <c r="I25" i="12"/>
  <c r="O40" i="3"/>
  <c r="D87" i="3"/>
  <c r="D41" i="3"/>
  <c r="M80" i="11"/>
  <c r="M37" i="11"/>
  <c r="W45" i="3"/>
  <c r="V45" i="3"/>
  <c r="U45" i="3"/>
  <c r="R92" i="3"/>
  <c r="E80" i="11"/>
  <c r="E37" i="11"/>
  <c r="M53" i="12"/>
  <c r="M25" i="12"/>
  <c r="D53" i="12"/>
  <c r="O24" i="12"/>
  <c r="D25" i="12"/>
  <c r="L87" i="3"/>
  <c r="L41" i="3"/>
  <c r="M87" i="3"/>
  <c r="M41" i="3"/>
  <c r="F25" i="12"/>
  <c r="F53" i="12"/>
  <c r="G25" i="12"/>
  <c r="G53" i="12"/>
  <c r="P86" i="13"/>
  <c r="H25" i="12"/>
  <c r="H53" i="12"/>
  <c r="O90" i="13"/>
  <c r="O43" i="13"/>
  <c r="G87" i="3"/>
  <c r="G41" i="3"/>
  <c r="L25" i="12"/>
  <c r="L53" i="12"/>
  <c r="G37" i="11"/>
  <c r="G80" i="11"/>
  <c r="I80" i="11"/>
  <c r="I37" i="11"/>
  <c r="J87" i="3"/>
  <c r="J41" i="3"/>
  <c r="F37" i="11"/>
  <c r="F80" i="11"/>
  <c r="J25" i="12"/>
  <c r="J53" i="12"/>
  <c r="J80" i="11"/>
  <c r="J37" i="11"/>
  <c r="D37" i="11"/>
  <c r="D80" i="11"/>
  <c r="O36" i="11"/>
  <c r="X41" i="13"/>
  <c r="W41" i="13"/>
  <c r="S43" i="13"/>
  <c r="V41" i="13"/>
  <c r="S90" i="13"/>
  <c r="H87" i="3"/>
  <c r="H41" i="3"/>
  <c r="K87" i="3"/>
  <c r="K41" i="3"/>
  <c r="F87" i="3"/>
  <c r="F41" i="3"/>
  <c r="L37" i="11"/>
  <c r="L80" i="11"/>
  <c r="N40" i="13" l="1"/>
  <c r="N41" i="13" s="1"/>
  <c r="L40" i="13"/>
  <c r="L89" i="13" s="1"/>
  <c r="M40" i="13"/>
  <c r="M89" i="13" s="1"/>
  <c r="J40" i="13"/>
  <c r="J41" i="13" s="1"/>
  <c r="I40" i="13"/>
  <c r="I89" i="13" s="1"/>
  <c r="H40" i="13"/>
  <c r="H89" i="13" s="1"/>
  <c r="K40" i="13"/>
  <c r="K41" i="13" s="1"/>
  <c r="E40" i="13"/>
  <c r="V40" i="13" s="1"/>
  <c r="G40" i="13"/>
  <c r="G41" i="13" s="1"/>
  <c r="F40" i="13"/>
  <c r="F89" i="13" s="1"/>
  <c r="M88" i="3"/>
  <c r="M43" i="3"/>
  <c r="J43" i="3"/>
  <c r="J88" i="3"/>
  <c r="L88" i="3"/>
  <c r="L43" i="3"/>
  <c r="E81" i="11"/>
  <c r="E39" i="11"/>
  <c r="D88" i="3"/>
  <c r="D43" i="3"/>
  <c r="D92" i="13"/>
  <c r="D44" i="13"/>
  <c r="F43" i="3"/>
  <c r="F88" i="3"/>
  <c r="D39" i="11"/>
  <c r="D81" i="11"/>
  <c r="J39" i="11"/>
  <c r="J81" i="11"/>
  <c r="G27" i="12"/>
  <c r="G54" i="12"/>
  <c r="K27" i="12"/>
  <c r="K54" i="12"/>
  <c r="M81" i="11"/>
  <c r="M39" i="11"/>
  <c r="H88" i="3"/>
  <c r="H43" i="3"/>
  <c r="H39" i="11"/>
  <c r="H81" i="11"/>
  <c r="L81" i="11"/>
  <c r="L39" i="11"/>
  <c r="L27" i="12"/>
  <c r="L54" i="12"/>
  <c r="E27" i="12"/>
  <c r="E54" i="12"/>
  <c r="I81" i="11"/>
  <c r="I39" i="11"/>
  <c r="D27" i="12"/>
  <c r="D54" i="12"/>
  <c r="O87" i="3"/>
  <c r="O41" i="3"/>
  <c r="E88" i="3"/>
  <c r="E43" i="3"/>
  <c r="J54" i="12"/>
  <c r="J27" i="12"/>
  <c r="G39" i="11"/>
  <c r="G81" i="11"/>
  <c r="F81" i="11"/>
  <c r="F39" i="11"/>
  <c r="H27" i="12"/>
  <c r="H54" i="12"/>
  <c r="G43" i="3"/>
  <c r="G88" i="3"/>
  <c r="K43" i="3"/>
  <c r="K88" i="3"/>
  <c r="S92" i="13"/>
  <c r="S44" i="13"/>
  <c r="V43" i="13"/>
  <c r="W43" i="13"/>
  <c r="X43" i="13"/>
  <c r="O92" i="13"/>
  <c r="O44" i="13"/>
  <c r="O93" i="13" s="1"/>
  <c r="F54" i="12"/>
  <c r="F27" i="12"/>
  <c r="O53" i="12"/>
  <c r="O25" i="12"/>
  <c r="I54" i="12"/>
  <c r="I27" i="12"/>
  <c r="I88" i="3"/>
  <c r="I43" i="3"/>
  <c r="M54" i="12"/>
  <c r="M27" i="12"/>
  <c r="O37" i="11"/>
  <c r="O80" i="11"/>
  <c r="K81" i="11"/>
  <c r="K39" i="11"/>
  <c r="N89" i="13" l="1"/>
  <c r="K89" i="13"/>
  <c r="L41" i="13"/>
  <c r="L90" i="13" s="1"/>
  <c r="I41" i="13"/>
  <c r="I43" i="13" s="1"/>
  <c r="M41" i="13"/>
  <c r="M43" i="13" s="1"/>
  <c r="P40" i="13"/>
  <c r="P89" i="13" s="1"/>
  <c r="E41" i="13"/>
  <c r="E43" i="13" s="1"/>
  <c r="J89" i="13"/>
  <c r="E89" i="13"/>
  <c r="G89" i="13"/>
  <c r="H41" i="13"/>
  <c r="H43" i="13" s="1"/>
  <c r="F41" i="13"/>
  <c r="F90" i="13" s="1"/>
  <c r="O45" i="13"/>
  <c r="O94" i="13" s="1"/>
  <c r="G56" i="12"/>
  <c r="G28" i="12"/>
  <c r="G57" i="12" s="1"/>
  <c r="G43" i="13"/>
  <c r="G90" i="13"/>
  <c r="F83" i="11"/>
  <c r="F40" i="11"/>
  <c r="F84" i="11" s="1"/>
  <c r="O88" i="3"/>
  <c r="O43" i="3"/>
  <c r="M40" i="11"/>
  <c r="M84" i="11" s="1"/>
  <c r="M83" i="11"/>
  <c r="I28" i="12"/>
  <c r="I57" i="12" s="1"/>
  <c r="I56" i="12"/>
  <c r="L28" i="12"/>
  <c r="L57" i="12" s="1"/>
  <c r="L56" i="12"/>
  <c r="J83" i="11"/>
  <c r="J40" i="11"/>
  <c r="J84" i="11" s="1"/>
  <c r="N90" i="13"/>
  <c r="N43" i="13"/>
  <c r="M56" i="12"/>
  <c r="M28" i="12"/>
  <c r="M57" i="12" s="1"/>
  <c r="G44" i="3"/>
  <c r="G91" i="3" s="1"/>
  <c r="G90" i="3"/>
  <c r="D40" i="11"/>
  <c r="D41" i="11" s="1"/>
  <c r="D85" i="11" s="1"/>
  <c r="D83" i="11"/>
  <c r="E40" i="11"/>
  <c r="E84" i="11" s="1"/>
  <c r="E83" i="11"/>
  <c r="M90" i="3"/>
  <c r="M44" i="3"/>
  <c r="M91" i="3" s="1"/>
  <c r="X44" i="13"/>
  <c r="S93" i="13"/>
  <c r="W44" i="13"/>
  <c r="V44" i="13"/>
  <c r="E90" i="3"/>
  <c r="E44" i="3"/>
  <c r="E91" i="3" s="1"/>
  <c r="H90" i="3"/>
  <c r="H44" i="3"/>
  <c r="H91" i="3" s="1"/>
  <c r="D93" i="13"/>
  <c r="K83" i="11"/>
  <c r="K40" i="11"/>
  <c r="K84" i="11" s="1"/>
  <c r="I90" i="3"/>
  <c r="I44" i="3"/>
  <c r="I91" i="3" s="1"/>
  <c r="H56" i="12"/>
  <c r="H28" i="12"/>
  <c r="H57" i="12" s="1"/>
  <c r="E56" i="12"/>
  <c r="E28" i="12"/>
  <c r="E57" i="12" s="1"/>
  <c r="D45" i="13"/>
  <c r="D94" i="13" s="1"/>
  <c r="J44" i="3"/>
  <c r="J91" i="3" s="1"/>
  <c r="J90" i="3"/>
  <c r="K90" i="3"/>
  <c r="K44" i="3"/>
  <c r="K91" i="3" s="1"/>
  <c r="D90" i="3"/>
  <c r="D44" i="3"/>
  <c r="D45" i="3" s="1"/>
  <c r="D92" i="3" s="1"/>
  <c r="O81" i="11"/>
  <c r="O39" i="11"/>
  <c r="L83" i="11"/>
  <c r="L40" i="11"/>
  <c r="L84" i="11" s="1"/>
  <c r="O54" i="12"/>
  <c r="O27" i="12"/>
  <c r="S45" i="13"/>
  <c r="G83" i="11"/>
  <c r="G40" i="11"/>
  <c r="G84" i="11" s="1"/>
  <c r="D56" i="12"/>
  <c r="D28" i="12"/>
  <c r="K90" i="13"/>
  <c r="K43" i="13"/>
  <c r="J56" i="12"/>
  <c r="J28" i="12"/>
  <c r="J57" i="12" s="1"/>
  <c r="I40" i="11"/>
  <c r="I84" i="11" s="1"/>
  <c r="I83" i="11"/>
  <c r="J43" i="13"/>
  <c r="J90" i="13"/>
  <c r="F28" i="12"/>
  <c r="F57" i="12" s="1"/>
  <c r="F56" i="12"/>
  <c r="H40" i="11"/>
  <c r="H84" i="11" s="1"/>
  <c r="H83" i="11"/>
  <c r="K28" i="12"/>
  <c r="K57" i="12" s="1"/>
  <c r="K56" i="12"/>
  <c r="F44" i="3"/>
  <c r="F91" i="3" s="1"/>
  <c r="F90" i="3"/>
  <c r="L90" i="3"/>
  <c r="L44" i="3"/>
  <c r="L91" i="3" s="1"/>
  <c r="L43" i="13" l="1"/>
  <c r="L44" i="13" s="1"/>
  <c r="L93" i="13" s="1"/>
  <c r="M90" i="13"/>
  <c r="I90" i="13"/>
  <c r="F43" i="13"/>
  <c r="F44" i="13" s="1"/>
  <c r="F93" i="13" s="1"/>
  <c r="M41" i="11"/>
  <c r="M85" i="11" s="1"/>
  <c r="H90" i="13"/>
  <c r="H29" i="12"/>
  <c r="H58" i="12" s="1"/>
  <c r="E90" i="13"/>
  <c r="F45" i="3"/>
  <c r="F92" i="3" s="1"/>
  <c r="P41" i="13"/>
  <c r="P90" i="13" s="1"/>
  <c r="K45" i="3"/>
  <c r="K92" i="3" s="1"/>
  <c r="E41" i="11"/>
  <c r="E85" i="11" s="1"/>
  <c r="E45" i="3"/>
  <c r="E92" i="3" s="1"/>
  <c r="M45" i="3"/>
  <c r="M92" i="3" s="1"/>
  <c r="G29" i="12"/>
  <c r="G58" i="12" s="1"/>
  <c r="G41" i="11"/>
  <c r="G85" i="11" s="1"/>
  <c r="K41" i="11"/>
  <c r="K85" i="11" s="1"/>
  <c r="F41" i="11"/>
  <c r="F85" i="11" s="1"/>
  <c r="F29" i="12"/>
  <c r="F58" i="12" s="1"/>
  <c r="J29" i="12"/>
  <c r="J58" i="12" s="1"/>
  <c r="L41" i="11"/>
  <c r="L85" i="11" s="1"/>
  <c r="D91" i="3"/>
  <c r="O44" i="3"/>
  <c r="O91" i="3" s="1"/>
  <c r="J45" i="3"/>
  <c r="J92" i="3" s="1"/>
  <c r="M29" i="12"/>
  <c r="M58" i="12" s="1"/>
  <c r="J41" i="11"/>
  <c r="J85" i="11" s="1"/>
  <c r="G92" i="13"/>
  <c r="G44" i="13"/>
  <c r="G93" i="13" s="1"/>
  <c r="D57" i="12"/>
  <c r="O28" i="12"/>
  <c r="O57" i="12" s="1"/>
  <c r="D29" i="12"/>
  <c r="D58" i="12" s="1"/>
  <c r="L29" i="12"/>
  <c r="L58" i="12" s="1"/>
  <c r="E92" i="13"/>
  <c r="E44" i="13"/>
  <c r="I41" i="11"/>
  <c r="I85" i="11" s="1"/>
  <c r="L45" i="3"/>
  <c r="L92" i="3" s="1"/>
  <c r="K29" i="12"/>
  <c r="K58" i="12" s="1"/>
  <c r="J92" i="13"/>
  <c r="J44" i="13"/>
  <c r="J93" i="13" s="1"/>
  <c r="I45" i="3"/>
  <c r="I92" i="3" s="1"/>
  <c r="H45" i="3"/>
  <c r="H92" i="3" s="1"/>
  <c r="N44" i="13"/>
  <c r="N93" i="13" s="1"/>
  <c r="N92" i="13"/>
  <c r="O90" i="3"/>
  <c r="M44" i="13"/>
  <c r="M93" i="13" s="1"/>
  <c r="M92" i="13"/>
  <c r="K44" i="13"/>
  <c r="K93" i="13" s="1"/>
  <c r="K92" i="13"/>
  <c r="V45" i="13"/>
  <c r="W45" i="13"/>
  <c r="X45" i="13"/>
  <c r="S94" i="13"/>
  <c r="O83" i="11"/>
  <c r="D84" i="11"/>
  <c r="O40" i="11"/>
  <c r="O84" i="11" s="1"/>
  <c r="H41" i="11"/>
  <c r="H85" i="11" s="1"/>
  <c r="O56" i="12"/>
  <c r="E29" i="12"/>
  <c r="E58" i="12" s="1"/>
  <c r="I44" i="13"/>
  <c r="I93" i="13" s="1"/>
  <c r="I92" i="13"/>
  <c r="I29" i="12"/>
  <c r="I58" i="12" s="1"/>
  <c r="H92" i="13"/>
  <c r="H44" i="13"/>
  <c r="H93" i="13" s="1"/>
  <c r="G45" i="3"/>
  <c r="G92" i="3" s="1"/>
  <c r="L92" i="13" l="1"/>
  <c r="F45" i="13"/>
  <c r="F94" i="13" s="1"/>
  <c r="F92" i="13"/>
  <c r="P43" i="13"/>
  <c r="P92" i="13" s="1"/>
  <c r="O45" i="3"/>
  <c r="O92" i="3" s="1"/>
  <c r="I45" i="13"/>
  <c r="I94" i="13" s="1"/>
  <c r="L45" i="13"/>
  <c r="L94" i="13" s="1"/>
  <c r="O41" i="11"/>
  <c r="O85" i="11" s="1"/>
  <c r="O29" i="12"/>
  <c r="O58" i="12" s="1"/>
  <c r="J45" i="13"/>
  <c r="J94" i="13" s="1"/>
  <c r="G45" i="13"/>
  <c r="G94" i="13" s="1"/>
  <c r="E93" i="13"/>
  <c r="P44" i="13"/>
  <c r="P93" i="13" s="1"/>
  <c r="K45" i="13"/>
  <c r="K94" i="13" s="1"/>
  <c r="H45" i="13"/>
  <c r="H94" i="13" s="1"/>
  <c r="M45" i="13"/>
  <c r="M94" i="13" s="1"/>
  <c r="E45" i="13"/>
  <c r="E94" i="13" s="1"/>
  <c r="N45" i="13"/>
  <c r="N94" i="13" s="1"/>
  <c r="P45" i="13" l="1"/>
  <c r="P94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69645-10B5-4F24-9229-0CF4B4118184}" keepAlive="1" name="Query - Notes_Consl_PL" description="Connection to the 'Notes_Consl_PL' query in the workbook." type="5" refreshedVersion="8" background="1">
    <dbPr connection="Provider=Microsoft.Mashup.OleDb.1;Data Source=$Workbook$;Location=Notes_Consl_PL;Extended Properties=&quot;&quot;" command="SELECT * FROM [Notes_Consl_PL]"/>
  </connection>
  <connection id="2" xr16:uid="{3AE0B704-4319-437D-83DE-057AB7D60C77}" keepAlive="1" name="Query - TB_Calicut" description="Connection to the 'TB_Calicut' query in the workbook." type="5" refreshedVersion="0" background="1">
    <dbPr connection="Provider=Microsoft.Mashup.OleDb.1;Data Source=$Workbook$;Location=TB_Calicut;Extended Properties=&quot;&quot;" command="SELECT * FROM [TB_Calicut]"/>
  </connection>
  <connection id="3" xr16:uid="{39047CE3-BABC-4DE0-8A39-5BE6CF4CC991}" keepAlive="1" name="Query - TB_Calicut (2)" description="Connection to the 'TB_Calicut (2)' query in the workbook." type="5" refreshedVersion="8" background="1" saveData="1">
    <dbPr connection="Provider=Microsoft.Mashup.OleDb.1;Data Source=$Workbook$;Location=&quot;TB_Calicut (2)&quot;;Extended Properties=&quot;&quot;" command="SELECT * FROM [TB_Calicut (2)]"/>
  </connection>
  <connection id="4" xr16:uid="{CB972313-7C21-4787-81FD-41BDEA11174E}" keepAlive="1" name="Query - TB_FNB" description="Connection to the 'TB_FNB' query in the workbook." type="5" refreshedVersion="0" background="1">
    <dbPr connection="Provider=Microsoft.Mashup.OleDb.1;Data Source=$Workbook$;Location=TB_FNB;Extended Properties=&quot;&quot;" command="SELECT * FROM [TB_FNB]"/>
  </connection>
  <connection id="5" xr16:uid="{5383B7A9-F97C-42FB-BC43-57225FFE332F}" keepAlive="1" name="Query - TB_Kochi" description="Connection to the 'TB_Kochi' query in the workbook." type="5" refreshedVersion="0" background="1">
    <dbPr connection="Provider=Microsoft.Mashup.OleDb.1;Data Source=$Workbook$;Location=TB_Kochi;Extended Properties=&quot;&quot;" command="SELECT * FROM [TB_Kochi]"/>
  </connection>
  <connection id="6" xr16:uid="{6DFCD2BC-9D2F-4561-882B-468810F89C0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049E9336-AC06-4AED-8FF0-AC5CCA5BED59}" name="WorksheetConnection_Profit_and_Loss_Statement_FY26.xlsx!TB_Calicut" type="102" refreshedVersion="8" minRefreshableVersion="5">
    <extLst>
      <ext xmlns:x15="http://schemas.microsoft.com/office/spreadsheetml/2010/11/main" uri="{DE250136-89BD-433C-8126-D09CA5730AF9}">
        <x15:connection id="TB_Calicut">
          <x15:rangePr sourceName="_xlcn.WorksheetConnection_Profit_and_Loss_Statement_FY26.xlsxTB_Calicut"/>
        </x15:connection>
      </ext>
    </extLst>
  </connection>
  <connection id="8" xr16:uid="{6D22E75A-49B3-48D4-AEF7-5C3D94EE53F8}" name="WorksheetConnection_Profit_and_Loss_Statement_FY26.xlsx!TB_FNB" type="102" refreshedVersion="8" minRefreshableVersion="5">
    <extLst>
      <ext xmlns:x15="http://schemas.microsoft.com/office/spreadsheetml/2010/11/main" uri="{DE250136-89BD-433C-8126-D09CA5730AF9}">
        <x15:connection id="TB_FNB">
          <x15:rangePr sourceName="_xlcn.WorksheetConnection_Profit_and_Loss_Statement_FY26.xlsxTB_FNB"/>
        </x15:connection>
      </ext>
    </extLst>
  </connection>
  <connection id="9" xr16:uid="{0F1EE56A-9AC6-4E74-A7D2-C5FA5087B6B3}" name="WorksheetConnection_Profit_and_Loss_Statement_FY26.xlsx!TB_Kochi" type="102" refreshedVersion="8" minRefreshableVersion="5">
    <extLst>
      <ext xmlns:x15="http://schemas.microsoft.com/office/spreadsheetml/2010/11/main" uri="{DE250136-89BD-433C-8126-D09CA5730AF9}">
        <x15:connection id="TB_Kochi">
          <x15:rangePr sourceName="_xlcn.WorksheetConnection_Profit_and_Loss_Statement_FY26.xlsxTB_Kochi"/>
        </x15:connection>
      </ext>
    </extLst>
  </connection>
</connections>
</file>

<file path=xl/sharedStrings.xml><?xml version="1.0" encoding="utf-8"?>
<sst xmlns="http://schemas.openxmlformats.org/spreadsheetml/2006/main" count="4204" uniqueCount="650">
  <si>
    <t>Description</t>
  </si>
  <si>
    <t>FS</t>
  </si>
  <si>
    <t>PL</t>
  </si>
  <si>
    <t>REVENUE FROM OPERATIONS</t>
  </si>
  <si>
    <t>PHARMACY REVENUE</t>
  </si>
  <si>
    <t>PHARMACY REVENUE-NON TAXABLE</t>
  </si>
  <si>
    <t>PHARMACY REVENUE-TAXABLE</t>
  </si>
  <si>
    <t>OTHER HEALTHCARE SERVICES</t>
  </si>
  <si>
    <t>OTHER HEALTHCARE SERVICES-OP</t>
  </si>
  <si>
    <t>OTHER OPERATING INCOME</t>
  </si>
  <si>
    <t>INCOME FROM CLINICAL STUDIES</t>
  </si>
  <si>
    <t>OTHER HEALTH SERVICES AYURVEDA</t>
  </si>
  <si>
    <t>OTHER INCOME</t>
  </si>
  <si>
    <t>INTEREST RECCEIVED</t>
  </si>
  <si>
    <t>INTEREST RECEIVED ON FD</t>
  </si>
  <si>
    <t>MISCELLANEOUS RECEIPTS</t>
  </si>
  <si>
    <t>DISCOUNT RECEIVED</t>
  </si>
  <si>
    <t>MISCELLANEOUS INCOME</t>
  </si>
  <si>
    <t>NOTICE PAY</t>
  </si>
  <si>
    <t>ROUND OFF A/C</t>
  </si>
  <si>
    <t>OTHER NON OPERATING INCOME</t>
  </si>
  <si>
    <t>RENTAL INCOME</t>
  </si>
  <si>
    <t>TRAINING FEES</t>
  </si>
  <si>
    <t>LAKESHORE ACCADEMY</t>
  </si>
  <si>
    <t>ACLS/BLS COURSE FEE FROM STUDENTS</t>
  </si>
  <si>
    <t>OPERATING EXPENSES</t>
  </si>
  <si>
    <t>PURCHASE OF MEDICINES &amp; CONSUMABLES</t>
  </si>
  <si>
    <t>OTHER ADMINISTRATIVE EXPENSES</t>
  </si>
  <si>
    <t>PRINTING &amp; STATIONERY</t>
  </si>
  <si>
    <t>ADVERTISEMENT CHARGES</t>
  </si>
  <si>
    <t>OFFICE EXPENSES</t>
  </si>
  <si>
    <t>POSTAGE &amp; COURIER CHARGES</t>
  </si>
  <si>
    <t>PROFESSIONAL CHARGES</t>
  </si>
  <si>
    <t>PROMOTIONAL EXPENDITURE</t>
  </si>
  <si>
    <t>SECURITY EXPENSES</t>
  </si>
  <si>
    <t>TELEPHONE &amp; MOBILE CHARGES</t>
  </si>
  <si>
    <t>TRANSPORTATION CHARGES</t>
  </si>
  <si>
    <t>TRAVELLING EXPENSES</t>
  </si>
  <si>
    <t>VEHICLE EXPENSES</t>
  </si>
  <si>
    <t>COURSE EXPENSES</t>
  </si>
  <si>
    <t>KOZHIKODE MEDICAL CENTRE EXPENSES</t>
  </si>
  <si>
    <t>KOZHIKODE RENT PAID</t>
  </si>
  <si>
    <t>OTHER EXPENSES</t>
  </si>
  <si>
    <t>MISCELLANEOUS EXPENSES</t>
  </si>
  <si>
    <t>LOSS ON FIXED ASSETS SOLD</t>
  </si>
  <si>
    <t>EXPENDITURE ON RESEARCH ACTIVITIES</t>
  </si>
  <si>
    <t>PAYMENTS TO AUDITORS</t>
  </si>
  <si>
    <t>RATES &amp; TAXES</t>
  </si>
  <si>
    <t>INSURANCE</t>
  </si>
  <si>
    <t>REPAIRS</t>
  </si>
  <si>
    <t>RENT</t>
  </si>
  <si>
    <t>LAB TEST CHARGES</t>
  </si>
  <si>
    <t>LAUNDRY,SANITA.&amp; HOUSEKEEPING EXP</t>
  </si>
  <si>
    <t>CONSULTANCY CHARGES</t>
  </si>
  <si>
    <t>POWER,FUEL &amp; WATER CHARGES</t>
  </si>
  <si>
    <t>FINANCE COSTS</t>
  </si>
  <si>
    <t>BANK CHARGES</t>
  </si>
  <si>
    <t>EMPLOYEE BENEFITS EXPENSE</t>
  </si>
  <si>
    <t>SALARIES &amp; WAGES</t>
  </si>
  <si>
    <t>STAFF WELFARE EXPENSES</t>
  </si>
  <si>
    <t>PURCHASES-ASSETS (STORE)</t>
  </si>
  <si>
    <t>PURCHASES (OTHER THAN STORE)</t>
  </si>
  <si>
    <t>CONCESSION &amp; FREE</t>
  </si>
  <si>
    <t>LABORATORY &amp; DIAG. SERVICES-OP</t>
  </si>
  <si>
    <t>GUEST LAUNDRY SERVICES-IP</t>
  </si>
  <si>
    <t>LABORATORY &amp; DIAG. SERVICES-IP</t>
  </si>
  <si>
    <t>OTHER HEALTHCARE SERVICES- IP</t>
  </si>
  <si>
    <t>BLOOD BANK COLLECTION-OP</t>
  </si>
  <si>
    <t>ASHWAS HOME CARE -OP</t>
  </si>
  <si>
    <t>CASUALITY PHARMACY - OP</t>
  </si>
  <si>
    <t>PROFIT ON EXCHANGE FLUCTUATION</t>
  </si>
  <si>
    <t>PROFIT ON SALE OF FIXED ASSETS</t>
  </si>
  <si>
    <t>SALE OF SCRAP &amp; WASTE</t>
  </si>
  <si>
    <t>SUPPLY OF MANPOWER</t>
  </si>
  <si>
    <t>VALET PARKING INCOME</t>
  </si>
  <si>
    <t>RENT RECEIVED</t>
  </si>
  <si>
    <t>DNB TRAINING FEE RECEIVED</t>
  </si>
  <si>
    <t>TRAINING FEE RECEIVED</t>
  </si>
  <si>
    <t>PURCHASE-MEDICAL STORE</t>
  </si>
  <si>
    <t>PURCHASE-CONSUMABLE(GS)</t>
  </si>
  <si>
    <t>PURCHASE-INSTRUMENTS(GS)</t>
  </si>
  <si>
    <t>PURCHASE-LAB MATERIALSGS)</t>
  </si>
  <si>
    <t>PURCHASE-MEDICAL GAS(GS)</t>
  </si>
  <si>
    <t>PURCHASE-MEDICINES(GS)</t>
  </si>
  <si>
    <t>PURCHASE-ONCOLOGY STORE</t>
  </si>
  <si>
    <t>FA-FURNITURE &amp; FIXTURES (DIRECT)</t>
  </si>
  <si>
    <t>COMPLEMENTRY TO EXECUTIVE CHECK UP</t>
  </si>
  <si>
    <t>CONCESSION LABORATORY &amp; DIAG. SERVICES-IP</t>
  </si>
  <si>
    <t>CONCESSION LABORATORY &amp; DIAG. SERVICES-OP</t>
  </si>
  <si>
    <t>CONCESSION OTHER HEALTHCARE SERVICES - IP</t>
  </si>
  <si>
    <t>CONCESSION VPS GOURMET FOOD COLLECTION</t>
  </si>
  <si>
    <t>CONCESSION-IP BILLING</t>
  </si>
  <si>
    <t>CONCESSION-OP CONSULTATION</t>
  </si>
  <si>
    <t>CONCESSION-OTHER HEALTHCARE SERVICES-OP</t>
  </si>
  <si>
    <t>CONCESSION-PHARMACY NONTAXABLE</t>
  </si>
  <si>
    <t>CONCESSION-PHARMACY TAXABLE</t>
  </si>
  <si>
    <t>CREDIT DISCOUNT A/C - ON LINE</t>
  </si>
  <si>
    <t>CREDIT DISPUTE A/C - ON LINE</t>
  </si>
  <si>
    <t>IP EXTRA DISCOUNT ACCOUNT</t>
  </si>
  <si>
    <t>OP CREDIT A/C - ON LINE</t>
  </si>
  <si>
    <t>PURCHASE-ASSETS(GS)</t>
  </si>
  <si>
    <t>REMUNERATION TO MD</t>
  </si>
  <si>
    <t>SALARY TO DOCTORS</t>
  </si>
  <si>
    <t>EXGRATIA</t>
  </si>
  <si>
    <t>FOOD RECOVERY</t>
  </si>
  <si>
    <t>SALARIES &amp; ALLOWANCES</t>
  </si>
  <si>
    <t>DNB TRAINING FEE</t>
  </si>
  <si>
    <t>TRAINING FEE</t>
  </si>
  <si>
    <t>ESI EMPLYERS SHARE</t>
  </si>
  <si>
    <t>PF ADMIN CHARGES</t>
  </si>
  <si>
    <t>PF EMPLOYERS SHARE</t>
  </si>
  <si>
    <t>DNB EXAM EXPENSES</t>
  </si>
  <si>
    <t>MEDICAL EXPENSES STAFF</t>
  </si>
  <si>
    <t>NURSES DAY</t>
  </si>
  <si>
    <t>BANK CHARGE- CARD SWIPING</t>
  </si>
  <si>
    <t>BANK CHARGES - BUYERS CREDIT</t>
  </si>
  <si>
    <t>FUEL CHARGES</t>
  </si>
  <si>
    <t>WATER ANALYSIS CHARGES</t>
  </si>
  <si>
    <t>WATER CHARGES</t>
  </si>
  <si>
    <t>ELECTRICITY CHARGES</t>
  </si>
  <si>
    <t>ELECTRICITY CHARGES-POWER SAVING SHARE</t>
  </si>
  <si>
    <t>SITTING FEE PAID</t>
  </si>
  <si>
    <t>CONSULTATION &amp; PROF. FEE DOCTORS</t>
  </si>
  <si>
    <t>CONSULTATION&amp; PROF.FEE LHRC SHARE</t>
  </si>
  <si>
    <t>CONSULTATION &amp; PROF.FEE VISIT DOCS</t>
  </si>
  <si>
    <t>HOUSE KEEPING EXPENSES</t>
  </si>
  <si>
    <t>LAUNDRY EXPENSES</t>
  </si>
  <si>
    <t>WASTE REMOVAL</t>
  </si>
  <si>
    <t>LAB TEST CHARGES PAID</t>
  </si>
  <si>
    <t>BED CHARGES</t>
  </si>
  <si>
    <t>EQUIPMENT RENT</t>
  </si>
  <si>
    <t>RENT PAID</t>
  </si>
  <si>
    <t>CIVIL MAINT. MATERIALS EXPENSES</t>
  </si>
  <si>
    <t>REPAIRS TO BUILDING</t>
  </si>
  <si>
    <t>REPAIRS TO BUILDING(NEW)</t>
  </si>
  <si>
    <t>REPAIRS TO BUILDING(OLD)</t>
  </si>
  <si>
    <t>AMC/CMC CHARGES</t>
  </si>
  <si>
    <t>REPAIRS TO MACHINERY</t>
  </si>
  <si>
    <t>REPAIRS TO EQUIPMENTS</t>
  </si>
  <si>
    <t>REPAIRS TO MEDICAL EQUIPMENTS</t>
  </si>
  <si>
    <t>REPAIRS - COMPUTER</t>
  </si>
  <si>
    <t>REPAIRS - ELECTRICAL</t>
  </si>
  <si>
    <t>REPAIRS - FURNITURE &amp; FIXTURES</t>
  </si>
  <si>
    <t>REPAIRS - VEHICLES</t>
  </si>
  <si>
    <t>REPAIRS &amp; MAINTENANCE</t>
  </si>
  <si>
    <t>REPAIRS &amp; MAINTENANCE(OTHERS)</t>
  </si>
  <si>
    <t>SOFTWARE MAINTENANCE EXPENSES</t>
  </si>
  <si>
    <t>INSURANCE FOR BUILDING</t>
  </si>
  <si>
    <t>INSURANCE FOR LIFT</t>
  </si>
  <si>
    <t>INSURANCE FOR OTHERS</t>
  </si>
  <si>
    <t>INSURANCE VEHICLES</t>
  </si>
  <si>
    <t>FILING FEE</t>
  </si>
  <si>
    <t>LICENSE FEE PAID</t>
  </si>
  <si>
    <t>RATES &amp; TAXES A/C</t>
  </si>
  <si>
    <t>AUDIT FEE A/C</t>
  </si>
  <si>
    <t>INTERNAL AUDIT FEE</t>
  </si>
  <si>
    <t>CME PROGRAMME - ENT</t>
  </si>
  <si>
    <t>CME PROGRAMME HEAD &amp; NECK</t>
  </si>
  <si>
    <t>ETHICS COMMITTEE MEETING EXPENSE/INCOME</t>
  </si>
  <si>
    <t>LOSS ON SALE OF ASSETS</t>
  </si>
  <si>
    <t>ACCREDITATION MID CYCLE REVIEW FEES</t>
  </si>
  <si>
    <t>BOOKS &amp; PERIODICALS</t>
  </si>
  <si>
    <t>BUSINESS RELATIONS EXPENSES</t>
  </si>
  <si>
    <t>CALIBRATION CHARGES</t>
  </si>
  <si>
    <t>DISCOUNT TO PATIENTS-ECHS</t>
  </si>
  <si>
    <t>QUALITY ASSURANCE EXPENSE</t>
  </si>
  <si>
    <t>ROUND OFF</t>
  </si>
  <si>
    <t>STAFF HIRING CHARGES</t>
  </si>
  <si>
    <t>SUBSCRIPTION TO TV</t>
  </si>
  <si>
    <t>SUBSCRIPTIONS &amp; PERIODICALS</t>
  </si>
  <si>
    <t>INCENTIVE - DNB SUPERVISION</t>
  </si>
  <si>
    <t>INCENTIVE - HISTOPATHOLOGY</t>
  </si>
  <si>
    <t>INCENTIVE - MARKETING</t>
  </si>
  <si>
    <t>INCENTIVE - MEDICAL ONCOLOGY</t>
  </si>
  <si>
    <t>INCENTIVE - PHYSIOTHERAPY</t>
  </si>
  <si>
    <t>INCENTIVE - SURGICAL ONCOLOGY</t>
  </si>
  <si>
    <t>INCENTIVE TO PERFUSIONISTS</t>
  </si>
  <si>
    <t>RECRUITMENT EXPENSES</t>
  </si>
  <si>
    <t>DONATION</t>
  </si>
  <si>
    <t>INTEREST ON GST</t>
  </si>
  <si>
    <t>INTEREST ON TDS PAYMENT</t>
  </si>
  <si>
    <t>PENALTY</t>
  </si>
  <si>
    <t>POOJA EXPENSES</t>
  </si>
  <si>
    <t>ADVOCATE FEES</t>
  </si>
  <si>
    <t>LEGAL &amp; PROFESSIONAL EXPENSES</t>
  </si>
  <si>
    <t>NABH/ISO AUDIT EXPENSES</t>
  </si>
  <si>
    <t>NABL ACCREDITION EXPENSES</t>
  </si>
  <si>
    <t>PATIENT PREPARATION CHARGES</t>
  </si>
  <si>
    <t>CME EXPENSES-MARKETING</t>
  </si>
  <si>
    <t>CSR ACTIVITIES</t>
  </si>
  <si>
    <t>VOICE CAMP- 2024</t>
  </si>
  <si>
    <t>FASTAG RECHARGE</t>
  </si>
  <si>
    <t>MARKETING EXPENSES</t>
  </si>
  <si>
    <t>TRAVELLING &amp; ACCOMODATION EXPENSES</t>
  </si>
  <si>
    <t>TRAVELLING &amp; ACCOMODATION EXPENSES- MARKETING</t>
  </si>
  <si>
    <t>ACLS &amp; BLS EXPENSES</t>
  </si>
  <si>
    <t>FS2</t>
  </si>
  <si>
    <t>I</t>
  </si>
  <si>
    <t>E</t>
  </si>
  <si>
    <t>Apr</t>
  </si>
  <si>
    <t>IP Pharmacy</t>
  </si>
  <si>
    <t>OP Pharmacy</t>
  </si>
  <si>
    <t>OP Revenue</t>
  </si>
  <si>
    <t>IP Revenue</t>
  </si>
  <si>
    <t>Finance Cost</t>
  </si>
  <si>
    <t>Doctor Cost</t>
  </si>
  <si>
    <t>Lab Test Charges</t>
  </si>
  <si>
    <t>Insurance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</si>
  <si>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</si>
  <si>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</si>
  <si>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</si>
  <si>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</si>
  <si>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</si>
  <si>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</si>
  <si>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</si>
  <si>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</si>
  <si>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</si>
  <si>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</si>
  <si>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</si>
  <si>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YTD</t>
  </si>
  <si>
    <t>Revenue</t>
  </si>
  <si>
    <t>Clinical Studies</t>
  </si>
  <si>
    <t>Other Income</t>
  </si>
  <si>
    <t>Total Revenue</t>
  </si>
  <si>
    <t>Group_1</t>
  </si>
  <si>
    <t>Group_2</t>
  </si>
  <si>
    <t>REVENUE FROM SALE OF SERVICES</t>
  </si>
  <si>
    <t>AYURVEDA INCOME</t>
  </si>
  <si>
    <t>Group_3</t>
  </si>
  <si>
    <t>PHARMACY COLLECTION</t>
  </si>
  <si>
    <t>PHARMACY COLLECTION-OP</t>
  </si>
  <si>
    <t>PURCHASE-GENERAL STORE</t>
  </si>
  <si>
    <t>CONTRIBUTION TO PF AND OTHER FUNDS</t>
  </si>
  <si>
    <t>Group_4</t>
  </si>
  <si>
    <t>CONSULTATION INCOME</t>
  </si>
  <si>
    <t>OP COLLECTION</t>
  </si>
  <si>
    <t>IP BILLING COLLECTION</t>
  </si>
  <si>
    <t>BLOOD BANK COLLECTION</t>
  </si>
  <si>
    <t>TRAINING EXPENSES</t>
  </si>
  <si>
    <t>CONSULTAION&amp;PROF.FEE VISIT DOCTORS</t>
  </si>
  <si>
    <t>BUILDING</t>
  </si>
  <si>
    <t>MACHINERY</t>
  </si>
  <si>
    <t>EQUIPMENTS</t>
  </si>
  <si>
    <t>OTHERS</t>
  </si>
  <si>
    <t>AUDIT EXPENSES</t>
  </si>
  <si>
    <t>EXPENDITURE FOR CLINICAL STUDY</t>
  </si>
  <si>
    <t>LOSS ON DISCARDING ASSETS</t>
  </si>
  <si>
    <t>LAB OUSOURCING INCOME</t>
  </si>
  <si>
    <t>CME PROGRAME INCOME</t>
  </si>
  <si>
    <t>INTEREST RECEIVED ON KSEB</t>
  </si>
  <si>
    <t>PURCHASE-MEDICAL CONSUMABLE(GS)</t>
  </si>
  <si>
    <t>CREDIT DISCOUNT A/C - ONLINE</t>
  </si>
  <si>
    <t>PURCHASE ASSETS CALICUT STORE</t>
  </si>
  <si>
    <t>INTEREST PAID</t>
  </si>
  <si>
    <t>KOZHIKODE OTHER EXPENSES</t>
  </si>
  <si>
    <t>KOZHIKODE TRAVELLING EXPENSES</t>
  </si>
  <si>
    <t>LABORATORY &amp; DIAG. SERVICES</t>
  </si>
  <si>
    <t>LAB COLLECTION</t>
  </si>
  <si>
    <t>INTEREST EXPENSE</t>
  </si>
  <si>
    <t>MIS_Group2</t>
  </si>
  <si>
    <t>MIS_Group1</t>
  </si>
  <si>
    <t>Aurveda</t>
  </si>
  <si>
    <t>Interest Received</t>
  </si>
  <si>
    <t>Miscellaneous Receipts</t>
  </si>
  <si>
    <t>Other Non Operating Income</t>
  </si>
  <si>
    <t>Rental Income</t>
  </si>
  <si>
    <t>Training Fee</t>
  </si>
  <si>
    <t>Lakeshore Accademy</t>
  </si>
  <si>
    <t>Material Cost</t>
  </si>
  <si>
    <t>Medicines and consumables</t>
  </si>
  <si>
    <t>Miscellaneous expenses</t>
  </si>
  <si>
    <t>Others</t>
  </si>
  <si>
    <t>Employee Cost</t>
  </si>
  <si>
    <t>Salaries &amp; Allowances</t>
  </si>
  <si>
    <t>Salary to Doctors</t>
  </si>
  <si>
    <t>PF &amp; ESI Employers Share</t>
  </si>
  <si>
    <t>Staff welfare expenses</t>
  </si>
  <si>
    <t>Bank Charges</t>
  </si>
  <si>
    <t>Utilities-Power, fuel &amp; water charges</t>
  </si>
  <si>
    <t>Fuel Charges</t>
  </si>
  <si>
    <t>Water Charges</t>
  </si>
  <si>
    <t>Electricity Charges</t>
  </si>
  <si>
    <t>Sitting Fee paid</t>
  </si>
  <si>
    <t>Consultation &amp; Professional Fee Doctors</t>
  </si>
  <si>
    <t>Consultation &amp;Professional Fee-LHRC Share</t>
  </si>
  <si>
    <t>Consultation &amp; Professional Fee-Visiting Doc</t>
  </si>
  <si>
    <t>House Keeping</t>
  </si>
  <si>
    <t>Laundry expense</t>
  </si>
  <si>
    <t>Rent Paid</t>
  </si>
  <si>
    <t>Repair &amp; Maintenance</t>
  </si>
  <si>
    <t>Repairs-Building</t>
  </si>
  <si>
    <t>Repair to Medical Equipment</t>
  </si>
  <si>
    <t>Repair to Other Equipment</t>
  </si>
  <si>
    <t>Repair to Computers</t>
  </si>
  <si>
    <t>Repair to Electrical Installations</t>
  </si>
  <si>
    <t>Repair to Furniture and Fixtures</t>
  </si>
  <si>
    <t>Repair to Vehicles</t>
  </si>
  <si>
    <t>Insurance for Building</t>
  </si>
  <si>
    <t>Insurance for Lift</t>
  </si>
  <si>
    <t>Insurance for Others</t>
  </si>
  <si>
    <t>Insurance for Vehicle</t>
  </si>
  <si>
    <t>Rates &amp; taxes</t>
  </si>
  <si>
    <t>Professional Fee</t>
  </si>
  <si>
    <t>IA and other audit</t>
  </si>
  <si>
    <t>Affiliation Fee</t>
  </si>
  <si>
    <t>Books &amp; Periodicals</t>
  </si>
  <si>
    <t>Business Relations Expenses</t>
  </si>
  <si>
    <t>Quality &amp; Infection control expense</t>
  </si>
  <si>
    <t>Provission for Bad Debts</t>
  </si>
  <si>
    <t>Subscription to Cable T V</t>
  </si>
  <si>
    <t>Printing &amp; Stationery</t>
  </si>
  <si>
    <t>Marketing Cost</t>
  </si>
  <si>
    <t>Advertisement expenses</t>
  </si>
  <si>
    <t>Promotional Expenditure</t>
  </si>
  <si>
    <t>Recruitment Expenses</t>
  </si>
  <si>
    <t>Rates &amp; Taxes</t>
  </si>
  <si>
    <t>Office Expenses</t>
  </si>
  <si>
    <t>Communication Costs</t>
  </si>
  <si>
    <t>Postage &amp; Courier Charges</t>
  </si>
  <si>
    <t>Professional Charges</t>
  </si>
  <si>
    <t>Patient Preparation Charges</t>
  </si>
  <si>
    <t>Security Services</t>
  </si>
  <si>
    <t>Telephone &amp; Mobile Charges</t>
  </si>
  <si>
    <t>Transportation Charges</t>
  </si>
  <si>
    <t>Travelling Expense</t>
  </si>
  <si>
    <t>Business Travel Cost</t>
  </si>
  <si>
    <t>Travelling Expenses</t>
  </si>
  <si>
    <t>Vehicle Expenses</t>
  </si>
  <si>
    <t>ACLS &amp; BLS Expenses</t>
  </si>
  <si>
    <t>Revenue From Operation</t>
  </si>
  <si>
    <t>Need to Update Closing Stock and Opening Stock</t>
  </si>
  <si>
    <t>EBITDA</t>
  </si>
  <si>
    <t>Depreciation</t>
  </si>
  <si>
    <t>PBT</t>
  </si>
  <si>
    <t>Tax</t>
  </si>
  <si>
    <t>PAT</t>
  </si>
  <si>
    <t>EBIT (Operational Profit)</t>
  </si>
  <si>
    <t>PARCEL CHARGE</t>
  </si>
  <si>
    <t>PARCEL CHARGE (TAX COLLECTED)</t>
  </si>
  <si>
    <t>OTHER EXCESS</t>
  </si>
  <si>
    <t>SCRAP SALE</t>
  </si>
  <si>
    <t>TRANSPORTATION INCOME</t>
  </si>
  <si>
    <t>AERATED SOFTDRINKS SALES (CESS)</t>
  </si>
  <si>
    <t>BAKERY SALES</t>
  </si>
  <si>
    <t>BANQUET FUNCTION SALES</t>
  </si>
  <si>
    <t>COFFEEBERRY SALES</t>
  </si>
  <si>
    <t>FEED REVENUE FROM IP SERVICES</t>
  </si>
  <si>
    <t>GOURMET RESTAURANT SALES</t>
  </si>
  <si>
    <t>IP SALES - BYSTANDERS FOOD</t>
  </si>
  <si>
    <t>IP SALES - PATIENT SERVICE CHARGES</t>
  </si>
  <si>
    <t>IP SALES - PATIENTS FOOD</t>
  </si>
  <si>
    <t>MRP SALES @0%</t>
  </si>
  <si>
    <t>MRP SALES @12%</t>
  </si>
  <si>
    <t>MRP SALES @18%</t>
  </si>
  <si>
    <t>MRP SALES 5%</t>
  </si>
  <si>
    <t>STAFF SUBSIDIZED FOOD SALES</t>
  </si>
  <si>
    <t>CALICUT - COFEEBERRY SALES</t>
  </si>
  <si>
    <t>PURCHASE - FRUITS &amp; VEGETABLES</t>
  </si>
  <si>
    <t>PURCHASE - BEVERAGES</t>
  </si>
  <si>
    <t>PURCHASE - FISH,MEAT &amp; EGG</t>
  </si>
  <si>
    <t>PURCHASE - FUEL</t>
  </si>
  <si>
    <t>PURCHASE - MILK,CURD &amp; BUTTER MILK</t>
  </si>
  <si>
    <t>PURCHASE - MRP COFEE SHOP ITEMS</t>
  </si>
  <si>
    <t>PURCHASE - PROVISIONS &amp; STORES</t>
  </si>
  <si>
    <t>TRANSPORT &amp; COOLIE</t>
  </si>
  <si>
    <t>SALARIES,WAGES,BONUS ETC.</t>
  </si>
  <si>
    <t>STAFF ACCOMODATION &amp; ELECTRICITY CHARGES</t>
  </si>
  <si>
    <t>STAFF ACCOMODATION WATER CHARGES</t>
  </si>
  <si>
    <t>STAFF UNIFORM EXPENSE</t>
  </si>
  <si>
    <t>PURCHASE - SUNDRY GOODS</t>
  </si>
  <si>
    <t>LAUNDRY EXPENSE</t>
  </si>
  <si>
    <t>PURCHASE - HOUSEKEEPING MATERIALS &amp; OTHERS</t>
  </si>
  <si>
    <t>PURCHASE - BLOCK STOCK</t>
  </si>
  <si>
    <t>PURCHASE - CROCKERY &amp; CUTLERY</t>
  </si>
  <si>
    <t>R&amp;M KITCHEN EQUIPMENTS</t>
  </si>
  <si>
    <t>SANITATION EXPENSE</t>
  </si>
  <si>
    <t>AMC SOFTWARE</t>
  </si>
  <si>
    <t>DISCOUNTS &amp; ALLOWANCES</t>
  </si>
  <si>
    <t>CONVEYANCE EXPENSE</t>
  </si>
  <si>
    <t>TRAVELLING EXPENSE OTHERS</t>
  </si>
  <si>
    <t>CREDIT CARD COMMISSION</t>
  </si>
  <si>
    <t>INCOME</t>
  </si>
  <si>
    <t>MOD REVENUE</t>
  </si>
  <si>
    <t>F &amp; B REVENUE (GST)</t>
  </si>
  <si>
    <t>CALICUT MEDICAL CENTRE</t>
  </si>
  <si>
    <t>EXPENSE</t>
  </si>
  <si>
    <t>P AND L EXPENSE</t>
  </si>
  <si>
    <t>RAW MATERIAL COST</t>
  </si>
  <si>
    <t>PAYMENT &amp; PROVISIONS FOR EMPLOYEES</t>
  </si>
  <si>
    <t>WORKMEN STAFF WELFARE EXPENSE</t>
  </si>
  <si>
    <t>STORES &amp; SUPPLIES</t>
  </si>
  <si>
    <t>LINEN &amp; ROOM SUPPLIES</t>
  </si>
  <si>
    <t>LINEN, WASHING &amp; LAUNDRY</t>
  </si>
  <si>
    <t>BLOCK STOCK</t>
  </si>
  <si>
    <t>REPAIRS &amp; MAINTENANCE - VARIBLES</t>
  </si>
  <si>
    <t>R&amp;M MACHINERY</t>
  </si>
  <si>
    <t>HOUSEMAINTENANCE</t>
  </si>
  <si>
    <t>REPAIRS &amp; MAINTENANCE FIXED</t>
  </si>
  <si>
    <t>R&amp;M IT</t>
  </si>
  <si>
    <t>RENT,RATES,TAXES &amp; INSURANCE</t>
  </si>
  <si>
    <t>ADMINISTRATION EXPENSE</t>
  </si>
  <si>
    <t>INTEREST AND BANK CHARGES</t>
  </si>
  <si>
    <t>MRP SALES @ 28</t>
  </si>
  <si>
    <t>PURCHASE - CAKE MIXING ITEMS</t>
  </si>
  <si>
    <t>PROFESSIONAL FEE</t>
  </si>
  <si>
    <t>FOOD TESTING CHARGES</t>
  </si>
  <si>
    <t>LEGAL &amp; PROFESSIONAL FEE</t>
  </si>
  <si>
    <t>MISCELLANEOUS EXPENSE</t>
  </si>
  <si>
    <t>X MAS CAKE SALE</t>
  </si>
  <si>
    <t>PURCHASE - ASSETS</t>
  </si>
  <si>
    <t>RENT OF EQUIPMENTS AND MACHINERY</t>
  </si>
  <si>
    <t>Rent</t>
  </si>
  <si>
    <t>R&amp;M OTHERS</t>
  </si>
  <si>
    <t>TRANSPORTATION EXPENSE</t>
  </si>
  <si>
    <t>R&amp;M OTHERS VARIABLES</t>
  </si>
  <si>
    <t>&gt;&gt;&gt;&gt;&gt;</t>
  </si>
  <si>
    <t>&gt;&gt;</t>
  </si>
  <si>
    <t>&gt;&gt;&gt;&gt;</t>
  </si>
  <si>
    <t>&gt;&gt;&gt;</t>
  </si>
  <si>
    <t>&gt;&gt;&gt;&gt;&gt;&gt;</t>
  </si>
  <si>
    <t>Scrap Sale</t>
  </si>
  <si>
    <t>Transportation Income</t>
  </si>
  <si>
    <t>Bakery Sales</t>
  </si>
  <si>
    <t>Parcel Charge</t>
  </si>
  <si>
    <t>Staff Sales</t>
  </si>
  <si>
    <t>Restaurant &amp; Coffee Shop Sales</t>
  </si>
  <si>
    <t>COGS</t>
  </si>
  <si>
    <t>Machinery Repair</t>
  </si>
  <si>
    <t>Fuel Charge</t>
  </si>
  <si>
    <t>Operational expenses</t>
  </si>
  <si>
    <t>Mrp Sales</t>
  </si>
  <si>
    <t>Ip Service</t>
  </si>
  <si>
    <t>Purchase - Fruits &amp; Vegetables</t>
  </si>
  <si>
    <t>Purchase - Beverages</t>
  </si>
  <si>
    <t>Purchase - Fish,Meat &amp; Egg</t>
  </si>
  <si>
    <t>Purchase - Fuel</t>
  </si>
  <si>
    <t>Purchase - Milk,Curd &amp; Butter Milk</t>
  </si>
  <si>
    <t>Purchase - Mrp Cofee Shop Items</t>
  </si>
  <si>
    <t>Purchase - Provisions &amp; Stores</t>
  </si>
  <si>
    <t>Transport &amp; Coolie</t>
  </si>
  <si>
    <t>Sallaries And Allowances</t>
  </si>
  <si>
    <t>Staff Accomodation &amp; Electricity Charges</t>
  </si>
  <si>
    <t>Staff Accomodation Water Charges</t>
  </si>
  <si>
    <t>Staff Uniform Expense</t>
  </si>
  <si>
    <t>Purchase - Sundry Goods</t>
  </si>
  <si>
    <t>Purchase - Block Stock</t>
  </si>
  <si>
    <t>Purchase - Crockery &amp; Cutlery</t>
  </si>
  <si>
    <t>Sanitation Expense</t>
  </si>
  <si>
    <t>Amc Software</t>
  </si>
  <si>
    <t>Conveyance Expense</t>
  </si>
  <si>
    <t>Travelling Expense Others</t>
  </si>
  <si>
    <t>Credit Card Commission</t>
  </si>
  <si>
    <t>Purchase - Cake Mixing Items</t>
  </si>
  <si>
    <t>Food Testing Charges</t>
  </si>
  <si>
    <t>Purchase - Assets</t>
  </si>
  <si>
    <t>Rent Of Equipments And Machinery</t>
  </si>
  <si>
    <t>Transportation Expense</t>
  </si>
  <si>
    <t>Electricity, Water Charge</t>
  </si>
  <si>
    <t>Staff deduction</t>
  </si>
  <si>
    <t>Total Cost</t>
  </si>
  <si>
    <t>EBIT</t>
  </si>
  <si>
    <t>Item Added Other than Trail balance</t>
  </si>
  <si>
    <t>Error Check</t>
  </si>
  <si>
    <t>Why Fuel charge negative</t>
  </si>
  <si>
    <t>Not tallying becouse fuel charge, it is credit balance</t>
  </si>
  <si>
    <t>(Amount in Lakhs)</t>
  </si>
  <si>
    <t>Particulars</t>
  </si>
  <si>
    <t>LAKESHORE HOSPITAL AND RESEARCH CENTRE LIMITED</t>
  </si>
  <si>
    <t>COSMETIC SURGERY COLLECTION-IP</t>
  </si>
  <si>
    <t>ROOM RENT TAXABLE</t>
  </si>
  <si>
    <t>CONSUMABLES &amp; ACCESSORIES</t>
  </si>
  <si>
    <t>Remarks</t>
  </si>
  <si>
    <t>SPONSERSHIP EXPENSES</t>
  </si>
  <si>
    <t>PURCHASE-CONSIGNMENT STORE</t>
  </si>
  <si>
    <t>OUTSOURSED SERVICES</t>
  </si>
  <si>
    <t>INTEREST RECEIVED</t>
  </si>
  <si>
    <t>INCOME FROM GOVERNMENT GRANT</t>
  </si>
  <si>
    <t>GRATUITY</t>
  </si>
  <si>
    <t>LEAVE ENCASHMENT</t>
  </si>
  <si>
    <t>BONUS</t>
  </si>
  <si>
    <t>INTEREST ON DELAYED PAYMENTS TO MSME</t>
  </si>
  <si>
    <t>BUILDING TAX PAID</t>
  </si>
  <si>
    <t>PRIOR PERIOD TAX EXPENSES</t>
  </si>
  <si>
    <t>INTEREST OTHERS</t>
  </si>
  <si>
    <t>AMORTISATION</t>
  </si>
  <si>
    <t>DEPRECIATION</t>
  </si>
  <si>
    <t>DEPRECIATION (GOVERNMENT GRANT EPCG)</t>
  </si>
  <si>
    <t>IMPAIRMENT IN VALUE OF INVESTMENTS ( EXPENSE )</t>
  </si>
  <si>
    <t>DOUBTFUL DEBTS A/C</t>
  </si>
  <si>
    <t>GRATUTITY - OCI</t>
  </si>
  <si>
    <t>DOUBTFUL DEBTS</t>
  </si>
  <si>
    <t>OTHER COMPERHENSIVE INCOME</t>
  </si>
  <si>
    <t>Total Expenses</t>
  </si>
  <si>
    <t>Ayurvedic Doctor Share</t>
  </si>
  <si>
    <t>Interest on Income Tax Refund</t>
  </si>
  <si>
    <t>Property Tax</t>
  </si>
  <si>
    <t>Prior Period Expenses</t>
  </si>
  <si>
    <t>Amortisation</t>
  </si>
  <si>
    <t>Depreciation (Government Grant EPCG)</t>
  </si>
  <si>
    <t>Impairment In Value Of Investments ( Expense )</t>
  </si>
  <si>
    <t>PROFESSIONAL TAX PAID</t>
  </si>
  <si>
    <t>Professional Tax</t>
  </si>
  <si>
    <t>Licence Fee</t>
  </si>
  <si>
    <t>CSR Activity</t>
  </si>
  <si>
    <t>LAKESHORE HOSPITAL - KOCHI</t>
  </si>
  <si>
    <t>LAKESHORE HOSPITAL - CALICUT</t>
  </si>
  <si>
    <t>LAKESHORE - FOOD AND BEVERAGE</t>
  </si>
  <si>
    <t>Other Expenses</t>
  </si>
  <si>
    <t>F &amp; B Revenue</t>
  </si>
  <si>
    <t>Opening Stock</t>
  </si>
  <si>
    <t>Closing Stock</t>
  </si>
  <si>
    <t>Kochi</t>
  </si>
  <si>
    <t>Calicut</t>
  </si>
  <si>
    <t>Trial Balance FY 25-26 Kochi</t>
  </si>
  <si>
    <t>Trial Balance FY 25-26 Calicut</t>
  </si>
  <si>
    <t>Trial Balance FY 25-26 F&amp;B</t>
  </si>
  <si>
    <t>CIVIL MAINTENANCE MATERIAL EXPENSE (DIRECT)</t>
  </si>
  <si>
    <t>CHEMICALS RO PLANT /WTP</t>
  </si>
  <si>
    <t>LOSS ON EXCHANGE FLUCTUATION</t>
  </si>
  <si>
    <t>EM(MEM) TRAINING FEE RECEIVED</t>
  </si>
  <si>
    <t>CONCESSION - AYURVEDA</t>
  </si>
  <si>
    <t>ONAM EXPENSES</t>
  </si>
  <si>
    <t>PURCHASE-CHEMICALS(GS)</t>
  </si>
  <si>
    <t>NABH ACCREDITATION ANUAL FEE</t>
  </si>
  <si>
    <t>TRAINING EXPENSES (LA)</t>
  </si>
  <si>
    <t>OTHER EXPENSE</t>
  </si>
  <si>
    <t>LABOUR CHARGES</t>
  </si>
  <si>
    <t>EXCESS CASH RECEIVED</t>
  </si>
  <si>
    <t>AERATED SOFTDRINKS SALES</t>
  </si>
  <si>
    <t>Training Expenses</t>
  </si>
  <si>
    <t>GST LATE FEE</t>
  </si>
  <si>
    <t>VAT PAYABLE FY 2016-17</t>
  </si>
  <si>
    <t>INTEREST ON TERM LOAN</t>
  </si>
  <si>
    <t>SERVICE CHARGES FOR R&amp;M</t>
  </si>
  <si>
    <t>House Keeping Expenses</t>
  </si>
  <si>
    <t>Security Expenses</t>
  </si>
  <si>
    <t>Grand Total</t>
  </si>
  <si>
    <t>Unit</t>
  </si>
  <si>
    <t>FNB</t>
  </si>
  <si>
    <t>Notes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</si>
  <si>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</si>
  <si>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</si>
  <si>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</si>
  <si>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</si>
  <si>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</si>
  <si>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</si>
  <si>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</si>
  <si>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</si>
  <si>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</si>
  <si>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</si>
  <si>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</si>
  <si>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</si>
  <si>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>13 Total</t>
  </si>
  <si>
    <t>14 Total</t>
  </si>
  <si>
    <t>15 Total</t>
  </si>
  <si>
    <t>16 Total</t>
  </si>
  <si>
    <t>17 Total</t>
  </si>
  <si>
    <t>18 Total</t>
  </si>
  <si>
    <t>19 Total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</si>
  <si>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</si>
  <si>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</si>
  <si>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</si>
  <si>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</si>
  <si>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</si>
  <si>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</si>
  <si>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</si>
  <si>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</si>
  <si>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</si>
  <si>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PL_Group</t>
  </si>
  <si>
    <t>29 Total</t>
  </si>
  <si>
    <t>Off TB</t>
  </si>
  <si>
    <t>Total</t>
  </si>
  <si>
    <t>Property, Plant and Equipment /Depreciation</t>
  </si>
  <si>
    <t>Software</t>
  </si>
  <si>
    <t>Land</t>
  </si>
  <si>
    <t>Buildings</t>
  </si>
  <si>
    <t>Medical Equipments</t>
  </si>
  <si>
    <t>Other Equipments</t>
  </si>
  <si>
    <t>Furniture and Fixtures</t>
  </si>
  <si>
    <t>Vehicles</t>
  </si>
  <si>
    <t>Office equipment</t>
  </si>
  <si>
    <t>Electrical Installations</t>
  </si>
  <si>
    <t>Computers</t>
  </si>
  <si>
    <t>Addition</t>
  </si>
  <si>
    <t>Deletion</t>
  </si>
  <si>
    <t>Dep (%)</t>
  </si>
  <si>
    <t>Depreciation for the Year</t>
  </si>
  <si>
    <t>Expected Credit Loss / Provision for doubt full debt</t>
  </si>
  <si>
    <t>Age</t>
  </si>
  <si>
    <t>Debtors</t>
  </si>
  <si>
    <t>Rate (%)</t>
  </si>
  <si>
    <t>Provision</t>
  </si>
  <si>
    <t>Bond/MACT</t>
  </si>
  <si>
    <t>Total Debtors</t>
  </si>
  <si>
    <t>Total Provision</t>
  </si>
  <si>
    <t>0-30</t>
  </si>
  <si>
    <t>31-60</t>
  </si>
  <si>
    <t>60-90</t>
  </si>
  <si>
    <t>91-180</t>
  </si>
  <si>
    <t>181-365</t>
  </si>
  <si>
    <t>1 -2 Yr</t>
  </si>
  <si>
    <t>2-3 Yr</t>
  </si>
  <si>
    <t>&gt; 3 Yr</t>
  </si>
  <si>
    <t>IP cash</t>
  </si>
  <si>
    <t>ECL Metrix Kochi</t>
  </si>
  <si>
    <t>ECL Metrix FNB</t>
  </si>
  <si>
    <t>ECL Metrix Consolidated</t>
  </si>
  <si>
    <t>Provision For Doubtfuldebt A/C-Current</t>
  </si>
  <si>
    <t>To be provided</t>
  </si>
  <si>
    <t>Anx</t>
  </si>
  <si>
    <t>Annexure to Consolidated Profit and Loss Account</t>
  </si>
  <si>
    <t>YTD TB</t>
  </si>
  <si>
    <t>Common Size Statement</t>
  </si>
  <si>
    <t>Bud</t>
  </si>
  <si>
    <t>FY25</t>
  </si>
  <si>
    <t>(All)</t>
  </si>
  <si>
    <t>Lease Rent</t>
  </si>
  <si>
    <t>Int.Co.</t>
  </si>
  <si>
    <t>Lease Rent GST</t>
  </si>
  <si>
    <t xml:space="preserve">Electrity Charge </t>
  </si>
  <si>
    <t>Electricty FNB</t>
  </si>
  <si>
    <t>Water Charge</t>
  </si>
  <si>
    <t>WATER CHARGES FNB</t>
  </si>
  <si>
    <t>Provision For Gratuity</t>
  </si>
  <si>
    <t>Provision for Gratuity</t>
  </si>
  <si>
    <t>Provision for Unspent CSR</t>
  </si>
  <si>
    <t>Annex</t>
  </si>
  <si>
    <t>Budget</t>
  </si>
  <si>
    <t>Growth &amp; Ach %</t>
  </si>
  <si>
    <t>YOY Gr.</t>
  </si>
  <si>
    <t>MOM Gr.</t>
  </si>
  <si>
    <t>BUD Ach.</t>
  </si>
  <si>
    <r>
      <t xml:space="preserve">Consolidated Profit and Loss Statement FY27 </t>
    </r>
    <r>
      <rPr>
        <b/>
        <i/>
        <sz val="11"/>
        <color rgb="FF0073BA"/>
        <rFont val="Aptos Narrow"/>
        <family val="2"/>
        <scheme val="minor"/>
      </rPr>
      <t>(Amount in lakhs)</t>
    </r>
  </si>
  <si>
    <r>
      <t xml:space="preserve">Profit and Loss Statement </t>
    </r>
    <r>
      <rPr>
        <b/>
        <i/>
        <sz val="11"/>
        <color rgb="FF0073BA"/>
        <rFont val="Aptos Narrow"/>
        <family val="2"/>
        <scheme val="minor"/>
      </rPr>
      <t>(Amount in Lakhs)</t>
    </r>
  </si>
  <si>
    <t>PM</t>
  </si>
  <si>
    <t>CM</t>
  </si>
  <si>
    <t>SMLY</t>
  </si>
  <si>
    <t>Apr_26</t>
  </si>
  <si>
    <t>AMC KITCHEN EQUIPMENTS</t>
  </si>
  <si>
    <t>Apr.26</t>
  </si>
  <si>
    <t>Mar.26</t>
  </si>
  <si>
    <t>Apr.25</t>
  </si>
  <si>
    <t>HEALTHCARE SERVICE-CAMP</t>
  </si>
  <si>
    <t>Gross Block 30-04-3026</t>
  </si>
  <si>
    <t>WDV 
30- 04-2026</t>
  </si>
  <si>
    <t>May-26</t>
  </si>
  <si>
    <t>AGOI FELLOWSHIP FEE</t>
  </si>
  <si>
    <t>FELLOWSHIP FEE</t>
  </si>
  <si>
    <t>April and May</t>
  </si>
  <si>
    <t>WDV 
1- 05-2026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</si>
</sst>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_ ;_ * \-#,##0_ ;_ * &quot;-&quot;??_ ;_ @_ "/>
    <numFmt numFmtId="167" formatCode="0.0"/>
  </numFmts>
  <fonts count="28" x14ac:knownFonts="1">
    <font>
      <sz val="10"/>
      <color indexed="8"/>
      <name val="MS Sans Serif"/>
    </font>
    <font>
      <b/>
      <sz val="12"/>
      <color indexed="20"/>
      <name val="Tahoma"/>
      <family val="2"/>
    </font>
    <font>
      <sz val="10"/>
      <color indexed="8"/>
      <name val="Calibri"/>
      <family val="2"/>
    </font>
    <font>
      <sz val="9.9499999999999993"/>
      <color indexed="8"/>
      <name val="Calibri"/>
      <family val="2"/>
    </font>
    <font>
      <b/>
      <sz val="10"/>
      <color indexed="16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MS Sans Serif"/>
    </font>
    <font>
      <b/>
      <sz val="11"/>
      <color theme="0"/>
      <name val="Calibri"/>
      <family val="2"/>
    </font>
    <font>
      <b/>
      <sz val="10"/>
      <color indexed="8"/>
      <name val="MS Sans Serif"/>
    </font>
    <font>
      <b/>
      <sz val="11"/>
      <color theme="0"/>
      <name val="Aptos Narrow"/>
      <family val="2"/>
      <scheme val="minor"/>
    </font>
    <font>
      <b/>
      <sz val="18"/>
      <color rgb="FF0571B9"/>
      <name val="Aptos Narrow"/>
      <family val="2"/>
      <scheme val="minor"/>
    </font>
    <font>
      <b/>
      <sz val="11"/>
      <color rgb="FF0073BA"/>
      <name val="Aptos Narrow"/>
      <family val="2"/>
      <scheme val="minor"/>
    </font>
    <font>
      <sz val="11"/>
      <color rgb="FF0073BA"/>
      <name val="Aptos Narrow"/>
      <family val="2"/>
      <scheme val="minor"/>
    </font>
    <font>
      <b/>
      <sz val="10"/>
      <color indexed="8"/>
      <name val="Calibri"/>
      <family val="2"/>
    </font>
    <font>
      <sz val="9.9499999999999993"/>
      <color rgb="FF000000"/>
      <name val="Calibri"/>
      <family val="2"/>
    </font>
    <font>
      <sz val="10"/>
      <color indexed="8"/>
      <name val="MS Sans Serif"/>
    </font>
    <font>
      <u/>
      <sz val="10"/>
      <color theme="10"/>
      <name val="MS Sans Serif"/>
    </font>
    <font>
      <sz val="11"/>
      <color indexed="8"/>
      <name val="MS Sans Serif"/>
    </font>
    <font>
      <b/>
      <sz val="14"/>
      <color rgb="FF0571B9"/>
      <name val="Aptos Narrow"/>
      <family val="2"/>
      <scheme val="minor"/>
    </font>
    <font>
      <b/>
      <sz val="10"/>
      <color theme="10"/>
      <name val="MS Sans Serif"/>
    </font>
    <font>
      <sz val="9.9499999999999993"/>
      <color rgb="FFFF0000"/>
      <name val="Calibri"/>
      <family val="2"/>
    </font>
    <font>
      <b/>
      <sz val="9.9499999999999993"/>
      <color indexed="8"/>
      <name val="Calibri"/>
      <family val="2"/>
    </font>
    <font>
      <b/>
      <sz val="9.9499999999999993"/>
      <color rgb="FFFF0000"/>
      <name val="Calibri"/>
      <family val="2"/>
    </font>
    <font>
      <b/>
      <sz val="10"/>
      <color rgb="FF7030A0"/>
      <name val="Calibri"/>
      <family val="2"/>
    </font>
    <font>
      <b/>
      <sz val="9.9499999999999993"/>
      <color rgb="FF7030A0"/>
      <name val="Calibri"/>
      <family val="2"/>
    </font>
    <font>
      <b/>
      <i/>
      <sz val="11"/>
      <color rgb="FF0073BA"/>
      <name val="Aptos Narrow"/>
      <family val="2"/>
      <scheme val="minor"/>
    </font>
    <font>
      <i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571B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9">
    <border>
      <left/>
      <right/>
      <top/>
      <bottom/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/>
      <diagonal/>
    </border>
    <border>
      <left/>
      <right/>
      <top/>
      <bottom style="medium">
        <color rgb="FF0571B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0070C0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dashed">
        <color rgb="FF808080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rgb="FF808080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3" tint="9.9978637043366805E-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 style="dotted">
        <color rgb="FF0070C0"/>
      </left>
      <right/>
      <top style="thin">
        <color theme="0"/>
      </top>
      <bottom/>
      <diagonal/>
    </border>
    <border>
      <left style="dotted">
        <color rgb="FF0070C0"/>
      </left>
      <right/>
      <top/>
      <bottom/>
      <diagonal/>
    </border>
    <border>
      <left style="dotted">
        <color rgb="FF0070C0"/>
      </left>
      <right/>
      <top/>
      <bottom style="thin">
        <color rgb="FF0070C0"/>
      </bottom>
      <diagonal/>
    </border>
    <border>
      <left style="dotted">
        <color rgb="FF0070C0"/>
      </left>
      <right/>
      <top style="thin">
        <color theme="0"/>
      </top>
      <bottom style="thin">
        <color theme="0"/>
      </bottom>
      <diagonal/>
    </border>
    <border>
      <left style="dotted">
        <color rgb="FF0070C0"/>
      </left>
      <right style="dotted">
        <color rgb="FF0070C0"/>
      </right>
      <top style="thin">
        <color theme="0"/>
      </top>
      <bottom/>
      <diagonal/>
    </border>
    <border>
      <left style="dotted">
        <color rgb="FF0070C0"/>
      </left>
      <right style="dotted">
        <color rgb="FF0070C0"/>
      </right>
      <top/>
      <bottom/>
      <diagonal/>
    </border>
    <border>
      <left style="dotted">
        <color rgb="FF0070C0"/>
      </left>
      <right style="dotted">
        <color rgb="FF0070C0"/>
      </right>
      <top/>
      <bottom style="thin">
        <color rgb="FF0070C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dotted">
        <color rgb="FF0070C0"/>
      </left>
      <right style="dotted">
        <color rgb="FF0070C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rgb="FF808080"/>
      </top>
      <bottom style="dashed">
        <color rgb="FF80808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/>
  </cellStyleXfs>
  <cellXfs count="178">
    <xf numFmtId="0" fontId="0" fillId="0" borderId="0" xfId="0"/>
    <xf numFmtId="0" fontId="2" fillId="0" borderId="0" xfId="0" applyFont="1"/>
    <xf numFmtId="43" fontId="2" fillId="0" borderId="0" xfId="1" applyFont="1" applyFill="1" applyBorder="1" applyAlignment="1" applyProtection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2" borderId="6" xfId="0" applyFont="1" applyFill="1" applyBorder="1"/>
    <xf numFmtId="0" fontId="5" fillId="0" borderId="0" xfId="0" applyFont="1"/>
    <xf numFmtId="43" fontId="2" fillId="2" borderId="6" xfId="0" applyNumberFormat="1" applyFont="1" applyFill="1" applyBorder="1"/>
    <xf numFmtId="43" fontId="4" fillId="2" borderId="2" xfId="1" applyFont="1" applyFill="1" applyBorder="1" applyAlignment="1" applyProtection="1">
      <alignment vertical="center"/>
    </xf>
    <xf numFmtId="0" fontId="4" fillId="2" borderId="3" xfId="0" applyFont="1" applyFill="1" applyBorder="1" applyAlignment="1">
      <alignment vertical="center"/>
    </xf>
    <xf numFmtId="0" fontId="6" fillId="0" borderId="0" xfId="0" applyFont="1"/>
    <xf numFmtId="43" fontId="6" fillId="0" borderId="0" xfId="0" applyNumberFormat="1" applyFont="1"/>
    <xf numFmtId="43" fontId="2" fillId="0" borderId="0" xfId="1" applyFont="1"/>
    <xf numFmtId="43" fontId="4" fillId="2" borderId="2" xfId="1" applyFont="1" applyFill="1" applyBorder="1" applyAlignment="1">
      <alignment vertical="center"/>
    </xf>
    <xf numFmtId="43" fontId="3" fillId="0" borderId="4" xfId="1" applyFont="1" applyBorder="1" applyAlignment="1">
      <alignment vertical="center"/>
    </xf>
    <xf numFmtId="43" fontId="3" fillId="0" borderId="4" xfId="1" applyFont="1" applyFill="1" applyBorder="1" applyAlignment="1" applyProtection="1">
      <alignment vertical="center"/>
    </xf>
    <xf numFmtId="43" fontId="3" fillId="0" borderId="1" xfId="1" applyFont="1" applyFill="1" applyBorder="1" applyAlignment="1" applyProtection="1">
      <alignment vertical="center"/>
    </xf>
    <xf numFmtId="43" fontId="3" fillId="0" borderId="5" xfId="1" applyFont="1" applyFill="1" applyBorder="1" applyAlignment="1" applyProtection="1">
      <alignment vertical="center"/>
    </xf>
    <xf numFmtId="0" fontId="8" fillId="3" borderId="0" xfId="0" applyFont="1" applyFill="1"/>
    <xf numFmtId="43" fontId="5" fillId="2" borderId="0" xfId="0" applyNumberFormat="1" applyFont="1" applyFill="1"/>
    <xf numFmtId="0" fontId="5" fillId="2" borderId="0" xfId="0" applyFont="1" applyFill="1"/>
    <xf numFmtId="43" fontId="6" fillId="0" borderId="0" xfId="1" applyFont="1"/>
    <xf numFmtId="43" fontId="2" fillId="0" borderId="0" xfId="0" applyNumberFormat="1" applyFont="1"/>
    <xf numFmtId="43" fontId="5" fillId="0" borderId="0" xfId="0" applyNumberFormat="1" applyFont="1"/>
    <xf numFmtId="0" fontId="5" fillId="2" borderId="0" xfId="0" applyFont="1" applyFill="1" applyAlignment="1">
      <alignment horizontal="left"/>
    </xf>
    <xf numFmtId="0" fontId="9" fillId="0" borderId="0" xfId="0" applyFont="1"/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7" xfId="0" applyFont="1" applyBorder="1"/>
    <xf numFmtId="0" fontId="0" fillId="0" borderId="7" xfId="0" applyBorder="1"/>
    <xf numFmtId="0" fontId="13" fillId="0" borderId="7" xfId="0" applyFont="1" applyBorder="1"/>
    <xf numFmtId="0" fontId="10" fillId="4" borderId="8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43" fontId="4" fillId="2" borderId="2" xfId="1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  <xf numFmtId="164" fontId="6" fillId="0" borderId="0" xfId="0" applyNumberFormat="1" applyFont="1"/>
    <xf numFmtId="164" fontId="5" fillId="0" borderId="0" xfId="0" applyNumberFormat="1" applyFont="1"/>
    <xf numFmtId="164" fontId="5" fillId="2" borderId="0" xfId="0" applyNumberFormat="1" applyFont="1" applyFill="1"/>
    <xf numFmtId="0" fontId="14" fillId="0" borderId="0" xfId="0" applyFont="1"/>
    <xf numFmtId="0" fontId="2" fillId="0" borderId="0" xfId="0" applyFont="1" applyAlignment="1">
      <alignment horizontal="left" indent="1"/>
    </xf>
    <xf numFmtId="0" fontId="9" fillId="0" borderId="9" xfId="0" applyFont="1" applyBorder="1"/>
    <xf numFmtId="164" fontId="5" fillId="0" borderId="9" xfId="0" applyNumberFormat="1" applyFont="1" applyBorder="1"/>
    <xf numFmtId="43" fontId="15" fillId="0" borderId="4" xfId="1" applyFont="1" applyFill="1" applyBorder="1" applyAlignment="1" applyProtection="1">
      <alignment vertical="center"/>
    </xf>
    <xf numFmtId="43" fontId="15" fillId="0" borderId="1" xfId="1" applyFont="1" applyFill="1" applyBorder="1" applyAlignment="1" applyProtection="1">
      <alignment vertical="center"/>
    </xf>
    <xf numFmtId="43" fontId="15" fillId="0" borderId="5" xfId="1" applyFont="1" applyFill="1" applyBorder="1" applyAlignment="1" applyProtection="1">
      <alignment vertical="center"/>
    </xf>
    <xf numFmtId="0" fontId="4" fillId="2" borderId="10" xfId="0" applyFont="1" applyFill="1" applyBorder="1" applyAlignment="1">
      <alignment vertical="center"/>
    </xf>
    <xf numFmtId="0" fontId="2" fillId="5" borderId="11" xfId="0" applyFont="1" applyFill="1" applyBorder="1"/>
    <xf numFmtId="9" fontId="6" fillId="0" borderId="0" xfId="2" applyFont="1"/>
    <xf numFmtId="165" fontId="6" fillId="0" borderId="0" xfId="2" applyNumberFormat="1" applyFont="1"/>
    <xf numFmtId="166" fontId="6" fillId="0" borderId="0" xfId="0" applyNumberFormat="1" applyFont="1"/>
    <xf numFmtId="0" fontId="4" fillId="2" borderId="12" xfId="0" applyFont="1" applyFill="1" applyBorder="1" applyAlignment="1">
      <alignment vertical="center"/>
    </xf>
    <xf numFmtId="0" fontId="3" fillId="0" borderId="4" xfId="4" applyFont="1" applyBorder="1" applyAlignment="1">
      <alignment vertical="center"/>
    </xf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43" fontId="18" fillId="0" borderId="0" xfId="1" applyFont="1"/>
    <xf numFmtId="0" fontId="6" fillId="0" borderId="0" xfId="0" pivotButton="1" applyFont="1"/>
    <xf numFmtId="0" fontId="6" fillId="0" borderId="0" xfId="0" applyFont="1" applyAlignment="1">
      <alignment horizontal="left"/>
    </xf>
    <xf numFmtId="2" fontId="6" fillId="0" borderId="0" xfId="0" applyNumberFormat="1" applyFont="1"/>
    <xf numFmtId="0" fontId="19" fillId="0" borderId="0" xfId="0" applyFont="1"/>
    <xf numFmtId="0" fontId="19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6" fillId="0" borderId="0" xfId="0" pivotButton="1" applyFont="1" applyAlignment="1">
      <alignment horizontal="left"/>
    </xf>
    <xf numFmtId="0" fontId="20" fillId="0" borderId="0" xfId="3" applyFont="1"/>
    <xf numFmtId="0" fontId="20" fillId="0" borderId="9" xfId="3" applyFont="1" applyBorder="1"/>
    <xf numFmtId="0" fontId="21" fillId="0" borderId="4" xfId="0" applyFont="1" applyBorder="1" applyAlignment="1">
      <alignment vertical="center"/>
    </xf>
    <xf numFmtId="43" fontId="21" fillId="0" borderId="4" xfId="1" applyFont="1" applyFill="1" applyBorder="1" applyAlignment="1" applyProtection="1">
      <alignment vertical="center"/>
    </xf>
    <xf numFmtId="43" fontId="21" fillId="0" borderId="5" xfId="1" applyFont="1" applyFill="1" applyBorder="1" applyAlignment="1" applyProtection="1">
      <alignment vertical="center"/>
    </xf>
    <xf numFmtId="0" fontId="10" fillId="4" borderId="8" xfId="0" applyFont="1" applyFill="1" applyBorder="1" applyAlignment="1">
      <alignment horizontal="left" wrapText="1"/>
    </xf>
    <xf numFmtId="43" fontId="5" fillId="2" borderId="0" xfId="1" applyFont="1" applyFill="1" applyAlignment="1">
      <alignment horizontal="left"/>
    </xf>
    <xf numFmtId="9" fontId="6" fillId="0" borderId="0" xfId="0" applyNumberFormat="1" applyFont="1"/>
    <xf numFmtId="0" fontId="10" fillId="4" borderId="13" xfId="0" applyFont="1" applyFill="1" applyBorder="1" applyAlignment="1">
      <alignment horizontal="left"/>
    </xf>
    <xf numFmtId="0" fontId="12" fillId="0" borderId="0" xfId="0" applyFont="1"/>
    <xf numFmtId="43" fontId="5" fillId="0" borderId="0" xfId="1" applyFont="1"/>
    <xf numFmtId="0" fontId="6" fillId="0" borderId="14" xfId="0" applyFont="1" applyBorder="1"/>
    <xf numFmtId="9" fontId="5" fillId="2" borderId="0" xfId="2" applyFont="1" applyFill="1"/>
    <xf numFmtId="165" fontId="5" fillId="2" borderId="0" xfId="2" applyNumberFormat="1" applyFont="1" applyFill="1"/>
    <xf numFmtId="9" fontId="5" fillId="0" borderId="0" xfId="2" applyFont="1"/>
    <xf numFmtId="9" fontId="5" fillId="0" borderId="9" xfId="2" applyFont="1" applyBorder="1"/>
    <xf numFmtId="43" fontId="22" fillId="0" borderId="1" xfId="1" applyFont="1" applyFill="1" applyBorder="1" applyAlignment="1" applyProtection="1">
      <alignment vertical="center"/>
    </xf>
    <xf numFmtId="43" fontId="22" fillId="0" borderId="4" xfId="1" applyFont="1" applyFill="1" applyBorder="1" applyAlignment="1" applyProtection="1">
      <alignment vertical="center"/>
    </xf>
    <xf numFmtId="43" fontId="22" fillId="0" borderId="5" xfId="1" applyFont="1" applyFill="1" applyBorder="1" applyAlignment="1" applyProtection="1">
      <alignment vertical="center"/>
    </xf>
    <xf numFmtId="43" fontId="23" fillId="0" borderId="4" xfId="1" applyFont="1" applyFill="1" applyBorder="1" applyAlignment="1" applyProtection="1">
      <alignment vertical="center"/>
    </xf>
    <xf numFmtId="43" fontId="14" fillId="2" borderId="6" xfId="0" applyNumberFormat="1" applyFont="1" applyFill="1" applyBorder="1"/>
    <xf numFmtId="0" fontId="24" fillId="2" borderId="10" xfId="0" applyFont="1" applyFill="1" applyBorder="1" applyAlignment="1">
      <alignment vertical="center"/>
    </xf>
    <xf numFmtId="43" fontId="25" fillId="0" borderId="1" xfId="1" applyFont="1" applyFill="1" applyBorder="1" applyAlignment="1" applyProtection="1">
      <alignment vertical="center"/>
    </xf>
    <xf numFmtId="43" fontId="25" fillId="0" borderId="4" xfId="1" applyFont="1" applyFill="1" applyBorder="1" applyAlignment="1" applyProtection="1">
      <alignment vertical="center"/>
    </xf>
    <xf numFmtId="43" fontId="25" fillId="0" borderId="5" xfId="1" applyFont="1" applyFill="1" applyBorder="1" applyAlignment="1" applyProtection="1">
      <alignment vertical="center"/>
    </xf>
    <xf numFmtId="43" fontId="24" fillId="5" borderId="11" xfId="0" applyNumberFormat="1" applyFont="1" applyFill="1" applyBorder="1"/>
    <xf numFmtId="166" fontId="5" fillId="0" borderId="0" xfId="0" applyNumberFormat="1" applyFont="1"/>
    <xf numFmtId="0" fontId="9" fillId="0" borderId="7" xfId="0" applyFont="1" applyBorder="1"/>
    <xf numFmtId="0" fontId="6" fillId="6" borderId="0" xfId="0" applyFont="1" applyFill="1"/>
    <xf numFmtId="164" fontId="5" fillId="6" borderId="0" xfId="0" applyNumberFormat="1" applyFont="1" applyFill="1"/>
    <xf numFmtId="164" fontId="5" fillId="6" borderId="9" xfId="0" applyNumberFormat="1" applyFont="1" applyFill="1" applyBorder="1"/>
    <xf numFmtId="0" fontId="5" fillId="6" borderId="0" xfId="0" applyFont="1" applyFill="1"/>
    <xf numFmtId="9" fontId="5" fillId="6" borderId="0" xfId="2" applyFont="1" applyFill="1"/>
    <xf numFmtId="9" fontId="5" fillId="6" borderId="9" xfId="2" applyFont="1" applyFill="1" applyBorder="1"/>
    <xf numFmtId="0" fontId="6" fillId="7" borderId="0" xfId="0" applyFont="1" applyFill="1"/>
    <xf numFmtId="164" fontId="6" fillId="7" borderId="0" xfId="0" applyNumberFormat="1" applyFont="1" applyFill="1"/>
    <xf numFmtId="164" fontId="5" fillId="7" borderId="9" xfId="0" applyNumberFormat="1" applyFont="1" applyFill="1" applyBorder="1"/>
    <xf numFmtId="9" fontId="6" fillId="7" borderId="0" xfId="2" applyFont="1" applyFill="1"/>
    <xf numFmtId="9" fontId="5" fillId="7" borderId="0" xfId="2" applyFont="1" applyFill="1"/>
    <xf numFmtId="9" fontId="5" fillId="7" borderId="9" xfId="2" applyFont="1" applyFill="1" applyBorder="1"/>
    <xf numFmtId="165" fontId="5" fillId="6" borderId="0" xfId="2" applyNumberFormat="1" applyFont="1" applyFill="1"/>
    <xf numFmtId="165" fontId="6" fillId="7" borderId="0" xfId="2" applyNumberFormat="1" applyFont="1" applyFill="1"/>
    <xf numFmtId="43" fontId="6" fillId="7" borderId="0" xfId="1" applyFont="1" applyFill="1"/>
    <xf numFmtId="0" fontId="24" fillId="2" borderId="2" xfId="0" applyFont="1" applyFill="1" applyBorder="1" applyAlignment="1">
      <alignment horizontal="center" vertical="center"/>
    </xf>
    <xf numFmtId="43" fontId="24" fillId="2" borderId="6" xfId="0" applyNumberFormat="1" applyFont="1" applyFill="1" applyBorder="1"/>
    <xf numFmtId="0" fontId="12" fillId="0" borderId="0" xfId="0" applyFont="1" applyAlignment="1">
      <alignment horizontal="left"/>
    </xf>
    <xf numFmtId="0" fontId="13" fillId="0" borderId="0" xfId="0" applyFont="1"/>
    <xf numFmtId="9" fontId="6" fillId="6" borderId="0" xfId="2" applyFont="1" applyFill="1"/>
    <xf numFmtId="43" fontId="3" fillId="0" borderId="15" xfId="1" applyFont="1" applyFill="1" applyBorder="1" applyAlignment="1" applyProtection="1">
      <alignment vertical="center"/>
    </xf>
    <xf numFmtId="43" fontId="23" fillId="0" borderId="1" xfId="1" applyFont="1" applyFill="1" applyBorder="1" applyAlignment="1" applyProtection="1">
      <alignment vertical="center"/>
    </xf>
    <xf numFmtId="0" fontId="6" fillId="0" borderId="16" xfId="0" applyFont="1" applyBorder="1"/>
    <xf numFmtId="164" fontId="6" fillId="0" borderId="17" xfId="0" applyNumberFormat="1" applyFont="1" applyBorder="1"/>
    <xf numFmtId="164" fontId="5" fillId="0" borderId="17" xfId="0" applyNumberFormat="1" applyFont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6" fillId="0" borderId="16" xfId="0" applyNumberFormat="1" applyFont="1" applyBorder="1"/>
    <xf numFmtId="0" fontId="6" fillId="0" borderId="19" xfId="0" applyFont="1" applyBorder="1"/>
    <xf numFmtId="164" fontId="5" fillId="2" borderId="21" xfId="0" applyNumberFormat="1" applyFont="1" applyFill="1" applyBorder="1"/>
    <xf numFmtId="0" fontId="5" fillId="0" borderId="16" xfId="0" applyFont="1" applyBorder="1"/>
    <xf numFmtId="0" fontId="6" fillId="0" borderId="17" xfId="0" applyFont="1" applyBorder="1"/>
    <xf numFmtId="0" fontId="5" fillId="0" borderId="17" xfId="0" applyFont="1" applyBorder="1"/>
    <xf numFmtId="0" fontId="5" fillId="2" borderId="17" xfId="0" applyFont="1" applyFill="1" applyBorder="1" applyAlignment="1">
      <alignment horizontal="left"/>
    </xf>
    <xf numFmtId="0" fontId="5" fillId="2" borderId="17" xfId="0" applyFont="1" applyFill="1" applyBorder="1"/>
    <xf numFmtId="0" fontId="9" fillId="0" borderId="17" xfId="0" applyFont="1" applyBorder="1"/>
    <xf numFmtId="0" fontId="9" fillId="0" borderId="18" xfId="0" applyFont="1" applyBorder="1"/>
    <xf numFmtId="17" fontId="10" fillId="4" borderId="8" xfId="0" applyNumberFormat="1" applyFont="1" applyFill="1" applyBorder="1" applyAlignment="1">
      <alignment horizontal="center"/>
    </xf>
    <xf numFmtId="0" fontId="6" fillId="0" borderId="25" xfId="0" applyFont="1" applyBorder="1"/>
    <xf numFmtId="164" fontId="6" fillId="0" borderId="21" xfId="0" applyNumberFormat="1" applyFont="1" applyBorder="1"/>
    <xf numFmtId="164" fontId="5" fillId="0" borderId="21" xfId="0" applyNumberFormat="1" applyFont="1" applyBorder="1"/>
    <xf numFmtId="164" fontId="5" fillId="0" borderId="22" xfId="0" applyNumberFormat="1" applyFont="1" applyBorder="1"/>
    <xf numFmtId="0" fontId="6" fillId="0" borderId="20" xfId="0" applyFont="1" applyBorder="1"/>
    <xf numFmtId="0" fontId="27" fillId="0" borderId="0" xfId="0" applyFont="1"/>
    <xf numFmtId="0" fontId="6" fillId="0" borderId="26" xfId="0" applyFont="1" applyBorder="1"/>
    <xf numFmtId="0" fontId="6" fillId="6" borderId="26" xfId="0" applyFont="1" applyFill="1" applyBorder="1"/>
    <xf numFmtId="0" fontId="6" fillId="7" borderId="26" xfId="0" applyFont="1" applyFill="1" applyBorder="1"/>
    <xf numFmtId="167" fontId="6" fillId="6" borderId="0" xfId="0" applyNumberFormat="1" applyFont="1" applyFill="1"/>
    <xf numFmtId="167" fontId="5" fillId="6" borderId="0" xfId="0" applyNumberFormat="1" applyFont="1" applyFill="1"/>
    <xf numFmtId="164" fontId="5" fillId="7" borderId="0" xfId="0" applyNumberFormat="1" applyFont="1" applyFill="1"/>
    <xf numFmtId="167" fontId="5" fillId="2" borderId="0" xfId="0" applyNumberFormat="1" applyFont="1" applyFill="1"/>
    <xf numFmtId="167" fontId="6" fillId="6" borderId="0" xfId="1" applyNumberFormat="1" applyFont="1" applyFill="1" applyBorder="1"/>
    <xf numFmtId="167" fontId="5" fillId="6" borderId="0" xfId="1" applyNumberFormat="1" applyFont="1" applyFill="1" applyBorder="1"/>
    <xf numFmtId="43" fontId="2" fillId="5" borderId="11" xfId="0" applyNumberFormat="1" applyFont="1" applyFill="1" applyBorder="1"/>
    <xf numFmtId="9" fontId="6" fillId="0" borderId="21" xfId="2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9" fontId="5" fillId="2" borderId="21" xfId="2" applyFont="1" applyFill="1" applyBorder="1"/>
    <xf numFmtId="164" fontId="5" fillId="2" borderId="21" xfId="0" applyNumberFormat="1" applyFont="1" applyFill="1" applyBorder="1" applyAlignment="1">
      <alignment horizontal="right"/>
    </xf>
    <xf numFmtId="9" fontId="5" fillId="0" borderId="21" xfId="2" applyFont="1" applyBorder="1" applyAlignment="1">
      <alignment horizontal="right"/>
    </xf>
    <xf numFmtId="9" fontId="5" fillId="0" borderId="22" xfId="2" applyFont="1" applyBorder="1" applyAlignment="1">
      <alignment horizontal="right"/>
    </xf>
    <xf numFmtId="43" fontId="15" fillId="8" borderId="4" xfId="1" applyFont="1" applyFill="1" applyBorder="1" applyAlignment="1" applyProtection="1">
      <alignment vertical="center"/>
    </xf>
    <xf numFmtId="9" fontId="5" fillId="2" borderId="21" xfId="2" applyFont="1" applyFill="1" applyBorder="1" applyAlignment="1">
      <alignment horizontal="right"/>
    </xf>
    <xf numFmtId="9" fontId="6" fillId="0" borderId="16" xfId="2" applyFont="1" applyBorder="1" applyAlignment="1">
      <alignment horizontal="right"/>
    </xf>
    <xf numFmtId="9" fontId="6" fillId="0" borderId="20" xfId="2" applyFont="1" applyBorder="1" applyAlignment="1">
      <alignment horizontal="right"/>
    </xf>
    <xf numFmtId="9" fontId="6" fillId="0" borderId="17" xfId="2" applyFont="1" applyBorder="1" applyAlignment="1">
      <alignment horizontal="right"/>
    </xf>
    <xf numFmtId="9" fontId="5" fillId="0" borderId="17" xfId="2" applyFont="1" applyBorder="1" applyAlignment="1">
      <alignment horizontal="right"/>
    </xf>
    <xf numFmtId="9" fontId="5" fillId="2" borderId="17" xfId="2" applyFont="1" applyFill="1" applyBorder="1" applyAlignment="1">
      <alignment horizontal="right"/>
    </xf>
    <xf numFmtId="9" fontId="5" fillId="0" borderId="18" xfId="2" applyFont="1" applyBorder="1" applyAlignment="1">
      <alignment horizontal="right"/>
    </xf>
    <xf numFmtId="17" fontId="4" fillId="2" borderId="10" xfId="0" applyNumberFormat="1" applyFont="1" applyFill="1" applyBorder="1" applyAlignment="1">
      <alignment vertical="center"/>
    </xf>
    <xf numFmtId="17" fontId="4" fillId="2" borderId="2" xfId="1" applyNumberFormat="1" applyFont="1" applyFill="1" applyBorder="1" applyAlignment="1" applyProtection="1">
      <alignment horizontal="center" vertical="center"/>
    </xf>
    <xf numFmtId="0" fontId="21" fillId="0" borderId="5" xfId="0" applyFont="1" applyBorder="1" applyAlignment="1">
      <alignment vertical="center"/>
    </xf>
    <xf numFmtId="43" fontId="25" fillId="0" borderId="27" xfId="1" applyFont="1" applyFill="1" applyBorder="1" applyAlignment="1" applyProtection="1">
      <alignment vertical="center"/>
    </xf>
    <xf numFmtId="17" fontId="4" fillId="2" borderId="12" xfId="1" applyNumberFormat="1" applyFont="1" applyFill="1" applyBorder="1" applyAlignment="1" applyProtection="1">
      <alignment vertical="center"/>
    </xf>
    <xf numFmtId="4" fontId="2" fillId="0" borderId="0" xfId="0" applyNumberFormat="1" applyFont="1"/>
    <xf numFmtId="43" fontId="2" fillId="5" borderId="28" xfId="0" applyNumberFormat="1" applyFont="1" applyFill="1" applyBorder="1"/>
    <xf numFmtId="43" fontId="6" fillId="0" borderId="14" xfId="0" applyNumberFormat="1" applyFont="1" applyBorder="1"/>
    <xf numFmtId="9" fontId="5" fillId="0" borderId="16" xfId="2" applyFont="1" applyBorder="1" applyAlignment="1">
      <alignment horizontal="right"/>
    </xf>
    <xf numFmtId="0" fontId="6" fillId="9" borderId="0" xfId="0" applyFont="1" applyFill="1"/>
    <xf numFmtId="0" fontId="13" fillId="0" borderId="7" xfId="0" applyFont="1" applyBorder="1"/>
    <xf numFmtId="17" fontId="10" fillId="4" borderId="23" xfId="0" applyNumberFormat="1" applyFont="1" applyFill="1" applyBorder="1" applyAlignment="1">
      <alignment horizontal="center"/>
    </xf>
    <xf numFmtId="17" fontId="10" fillId="4" borderId="24" xfId="0" applyNumberFormat="1" applyFont="1" applyFill="1" applyBorder="1" applyAlignment="1">
      <alignment horizontal="center"/>
    </xf>
    <xf numFmtId="17" fontId="10" fillId="4" borderId="13" xfId="0" applyNumberFormat="1" applyFont="1" applyFill="1" applyBorder="1" applyAlignment="1">
      <alignment horizontal="center"/>
    </xf>
    <xf numFmtId="0" fontId="12" fillId="0" borderId="7" xfId="0" applyFont="1" applyBorder="1"/>
  </cellXfs>
  <cellStyles count="5">
    <cellStyle name="Comma" xfId="1" builtinId="3"/>
    <cellStyle name="Hyperlink" xfId="3" builtinId="8"/>
    <cellStyle name="Normal" xfId="0" builtinId="0"/>
    <cellStyle name="Normal 2" xfId="4" xr:uid="{8A1C4D14-4293-4DD0-B81A-9847CB6EB468}"/>
    <cellStyle name="Percent" xfId="2" builtinId="5"/>
  </cellStyles>
  <dxfs count="5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>
        <top style="dashed">
          <color rgb="FF808080"/>
        </top>
      </border>
    </dxf>
    <dxf>
      <fill>
        <patternFill patternType="solid">
          <fgColor rgb="FF000000"/>
          <bgColor rgb="FFD9D9D9"/>
        </patternFill>
      </fill>
    </dxf>
    <dxf>
      <border diagonalUp="0" diagonalDown="0">
        <left style="dashed">
          <color rgb="FF808080"/>
        </left>
        <right style="dashed">
          <color rgb="FF808080"/>
        </right>
        <top style="dashed">
          <color rgb="FF808080"/>
        </top>
        <bottom style="dashed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border>
        <bottom style="dashed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dashed">
          <color theme="0" tint="-0.499984740745262"/>
        </left>
        <right style="dashed">
          <color theme="0" tint="-0.499984740745262"/>
        </right>
        <top/>
        <bottom/>
        <vertical style="dashed">
          <color theme="0" tint="-0.499984740745262"/>
        </vertical>
        <horizontal style="dashed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rgb="FF000000"/>
          <bgColor rgb="FFD9D9D9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7030A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>
        <top style="dashed">
          <color rgb="FF808080"/>
        </top>
      </border>
    </dxf>
    <dxf>
      <fill>
        <patternFill patternType="solid">
          <fgColor rgb="FF000000"/>
          <bgColor rgb="FFD9D9D9"/>
        </patternFill>
      </fill>
    </dxf>
    <dxf>
      <border diagonalUp="0" diagonalDown="0">
        <left style="dashed">
          <color rgb="FF808080"/>
        </left>
        <right style="dashed">
          <color rgb="FF808080"/>
        </right>
        <top style="dashed">
          <color rgb="FF808080"/>
        </top>
        <bottom style="dashed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border>
        <bottom style="dashed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dashed">
          <color theme="0" tint="-0.499984740745262"/>
        </left>
        <right style="dashed">
          <color theme="0" tint="-0.499984740745262"/>
        </right>
        <top/>
        <bottom/>
        <vertical style="dashed">
          <color theme="0" tint="-0.499984740745262"/>
        </vertical>
        <horizontal style="dashed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9499999999999993"/>
        <color rgb="FF7030A0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theme="0" tint="-0.499984740745262"/>
        </top>
        <bottom style="dashed">
          <color theme="0" tint="-0.499984740745262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dashed">
          <color theme="0" tint="-0.499984740745262"/>
        </right>
        <top style="dashed">
          <color theme="0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>
        <top style="dashed">
          <color theme="0" tint="-0.499984740745262"/>
        </top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499999999999993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border>
        <bottom style="dashed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6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dashed">
          <color theme="0" tint="-0.499984740745262"/>
        </left>
        <right style="dashed">
          <color theme="0" tint="-0.499984740745262"/>
        </right>
        <top/>
        <bottom/>
        <vertical style="dashed">
          <color theme="0" tint="-0.499984740745262"/>
        </vertical>
        <horizontal style="dashed">
          <color theme="0" tint="-0.499984740745262"/>
        </horizontal>
      </border>
    </dxf>
    <dxf>
      <numFmt numFmtId="2" formatCode="0.00"/>
    </dxf>
    <dxf>
      <fill>
        <patternFill patternType="none">
          <bgColor auto="1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fill>
        <patternFill>
          <bgColor theme="0" tint="-0.14996795556505021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4.9989318521683403E-2"/>
          <bgColor theme="0" tint="-0.14996795556505021"/>
        </patternFill>
      </fill>
      <border>
        <top style="thin">
          <color auto="1"/>
        </top>
        <bottom style="thin">
          <color auto="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rgb="FF0070C0"/>
          <bgColor theme="0" tint="-0.149967955565050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i val="0"/>
        <color theme="0"/>
      </font>
      <fill>
        <patternFill>
          <bgColor rgb="FF0070C0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fill>
        <patternFill>
          <bgColor theme="0" tint="-0.14996795556505021"/>
        </patternFill>
      </fill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rgb="FF0070C0"/>
          <bgColor theme="0" tint="-0.149967955565050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color theme="0"/>
      </font>
      <fill>
        <patternFill patternType="solid">
          <fgColor rgb="FF0070C0"/>
          <bgColor theme="4" tint="0.79995117038483843"/>
        </patternFill>
      </fill>
      <border>
        <bottom style="thin">
          <color theme="4" tint="0.39997558519241921"/>
        </bottom>
      </border>
    </dxf>
  </dxfs>
  <tableStyles count="5" defaultTableStyle="TableStyleMedium2" defaultPivotStyle="PivotStyleLight16">
    <tableStyle name="Notes" table="0" count="11" xr9:uid="{5480EFE4-3286-4975-A7A9-3573030340C4}">
      <tableStyleElement type="headerRow" dxfId="502"/>
      <tableStyleElement type="totalRow" dxfId="501"/>
      <tableStyleElement type="firstRowStripe" dxfId="500"/>
      <tableStyleElement type="firstColumnStripe" dxfId="499"/>
      <tableStyleElement type="firstSubtotalColumn" dxfId="498"/>
      <tableStyleElement type="firstSubtotalRow" dxfId="497"/>
      <tableStyleElement type="secondSubtotalRow" dxfId="496"/>
      <tableStyleElement type="firstRowSubheading" dxfId="495"/>
      <tableStyleElement type="secondRowSubheading" dxfId="494"/>
      <tableStyleElement type="pageFieldLabels" dxfId="493"/>
      <tableStyleElement type="pageFieldValues" dxfId="492"/>
    </tableStyle>
    <tableStyle name="Notes 2" table="0" count="11" xr9:uid="{3487EA46-06BF-4409-9176-3726CCAF373A}">
      <tableStyleElement type="headerRow" dxfId="491"/>
      <tableStyleElement type="totalRow" dxfId="490"/>
      <tableStyleElement type="firstRowStripe" dxfId="489"/>
      <tableStyleElement type="firstColumnStripe" dxfId="488"/>
      <tableStyleElement type="firstSubtotalColumn" dxfId="487"/>
      <tableStyleElement type="firstSubtotalRow" dxfId="486"/>
      <tableStyleElement type="secondSubtotalRow" dxfId="485"/>
      <tableStyleElement type="firstRowSubheading" dxfId="484"/>
      <tableStyleElement type="secondRowSubheading" dxfId="483"/>
      <tableStyleElement type="pageFieldLabels" dxfId="482"/>
      <tableStyleElement type="pageFieldValues" dxfId="481"/>
    </tableStyle>
    <tableStyle name="PivotTable Style 1" table="0" count="1" xr9:uid="{5D1B3FA2-28CE-4937-87F5-F54FF54B33F4}">
      <tableStyleElement type="firstSubtotalColumn" dxfId="480"/>
    </tableStyle>
    <tableStyle name="PivotTable Style 2" table="0" count="1" xr9:uid="{8FC4382C-6772-46B8-9B19-01AB8636DA22}">
      <tableStyleElement type="thirdSubtotalColumn" dxfId="479"/>
    </tableStyle>
    <tableStyle name="PivotTable Style 3" table="0" count="1" xr9:uid="{9E43A51F-2524-4382-A203-6BB887A8FBE2}">
      <tableStyleElement type="firstHeaderCell" dxfId="47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20E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624840</xdr:colOff>
      <xdr:row>0</xdr:row>
      <xdr:rowOff>8366</xdr:rowOff>
    </xdr:from>
    <xdr:to>
      <xdr:col>24</xdr:col>
      <xdr:colOff>14659</xdr:colOff>
      <xdr:row>1</xdr:row>
      <xdr:rowOff>125723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D4FBDDD3-463D-4BD1-837A-22CCBD5B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01640" y="8366"/>
          <a:ext cx="1249099" cy="414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21537</xdr:colOff>
      <xdr:row>0</xdr:row>
      <xdr:rowOff>69326</xdr:rowOff>
    </xdr:from>
    <xdr:to>
      <xdr:col>15</xdr:col>
      <xdr:colOff>5716</xdr:colOff>
      <xdr:row>2</xdr:row>
      <xdr:rowOff>171443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CF764881-F69D-47F6-9961-3E65DCE72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26697" y="69326"/>
          <a:ext cx="1249099" cy="4221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570177</xdr:colOff>
      <xdr:row>0</xdr:row>
      <xdr:rowOff>23606</xdr:rowOff>
    </xdr:from>
    <xdr:to>
      <xdr:col>22</xdr:col>
      <xdr:colOff>569596</xdr:colOff>
      <xdr:row>1</xdr:row>
      <xdr:rowOff>140963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D82A3786-3720-4DA3-A6ED-6E879F85D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0777" y="23606"/>
          <a:ext cx="1249099" cy="4145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585417</xdr:colOff>
      <xdr:row>0</xdr:row>
      <xdr:rowOff>0</xdr:rowOff>
    </xdr:from>
    <xdr:to>
      <xdr:col>22</xdr:col>
      <xdr:colOff>584836</xdr:colOff>
      <xdr:row>1</xdr:row>
      <xdr:rowOff>117357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AF7CDBF9-2855-431E-AD1C-3D8ACE73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857" y="0"/>
          <a:ext cx="1249099" cy="4145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554937</xdr:colOff>
      <xdr:row>0</xdr:row>
      <xdr:rowOff>23606</xdr:rowOff>
    </xdr:from>
    <xdr:to>
      <xdr:col>22</xdr:col>
      <xdr:colOff>554356</xdr:colOff>
      <xdr:row>1</xdr:row>
      <xdr:rowOff>140963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72C115DA-2267-4A02-9A8C-6C1C2E313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89777" y="23606"/>
          <a:ext cx="1249099" cy="4145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288237</xdr:colOff>
      <xdr:row>0</xdr:row>
      <xdr:rowOff>0</xdr:rowOff>
    </xdr:from>
    <xdr:to>
      <xdr:col>8</xdr:col>
      <xdr:colOff>678180</xdr:colOff>
      <xdr:row>1</xdr:row>
      <xdr:rowOff>173614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E1EC6C30-5641-4372-AFB0-60E21F3B8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54597" y="0"/>
          <a:ext cx="1266243" cy="4707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471117</xdr:colOff>
      <xdr:row>0</xdr:row>
      <xdr:rowOff>0</xdr:rowOff>
    </xdr:from>
    <xdr:to>
      <xdr:col>12</xdr:col>
      <xdr:colOff>868680</xdr:colOff>
      <xdr:row>1</xdr:row>
      <xdr:rowOff>156615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EF78E7BE-2AD9-4124-BB66-2E83B945D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44557" y="0"/>
          <a:ext cx="1220523" cy="4537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SRUTHI/To%20CFO/P&amp;L/TB/tb%20new%20kochin%20May.xls" TargetMode="External"/><Relationship Id="rId2" Type="http://schemas.openxmlformats.org/officeDocument/2006/relationships/externalLinkPath" Target="file:///C:\SRUTHI\To%20CFO\P&amp;L\TB\tb%20new%20kochin%20May.xls" TargetMode="External"/><Relationship Id="rId1" Type="http://schemas.openxmlformats.org/officeDocument/2006/relationships/externalLinkPath" Target="/SRUTHI/To%20CFO/P&amp;L/TB/tb%20new%20kochin%20May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SRUTHI/To%20CFO/P&amp;L/TB/may%2026%20kochin.xls" TargetMode="External"/><Relationship Id="rId2" Type="http://schemas.openxmlformats.org/officeDocument/2006/relationships/externalLinkPath" Target="file:///C:\SRUTHI\To%20CFO\P&amp;L\TB\may%2026%20kochin.xls" TargetMode="External"/><Relationship Id="rId1" Type="http://schemas.openxmlformats.org/officeDocument/2006/relationships/externalLinkPath" Target="/SRUTHI/To%20CFO/P&amp;L/TB/may%2026%20kochin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SRUTHI/To%20CFO/P&amp;L/TB/may%2026%20calicut.xls" TargetMode="External"/><Relationship Id="rId2" Type="http://schemas.openxmlformats.org/officeDocument/2006/relationships/externalLinkPath" Target="file:///C:\SRUTHI\To%20CFO\P&amp;L\TB\may%2026%20calicut.xls" TargetMode="External"/><Relationship Id="rId1" Type="http://schemas.openxmlformats.org/officeDocument/2006/relationships/externalLinkPath" Target="/SRUTHI/To%20CFO/P&amp;L/TB/may%2026%20calicut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SRUTHI/To%20CFO/P&amp;L/TB/tbschedulewise%20-%20may%202026%20(3).xls" TargetMode="External"/><Relationship Id="rId2" Type="http://schemas.openxmlformats.org/officeDocument/2006/relationships/externalLinkPath" Target="file:///C:\SRUTHI\To%20CFO\P&amp;L\TB\tbschedulewise%20-%20may%202026%20(3).xls" TargetMode="External"/><Relationship Id="rId1" Type="http://schemas.openxmlformats.org/officeDocument/2006/relationships/externalLinkPath" Target="/SRUTHI/To%20CFO/P&amp;L/TB/tbschedulewise%20-%20may%202026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SRUTHI/To%20CFO/P&amp;L/TB/may%2026.xls" TargetMode="External"/><Relationship Id="rId2" Type="http://schemas.openxmlformats.org/officeDocument/2006/relationships/externalLinkPath" Target="file:///C:\SRUTHI\To%20CFO\P&amp;L\TB\may%2026.xls" TargetMode="External"/><Relationship Id="rId1" Type="http://schemas.openxmlformats.org/officeDocument/2006/relationships/externalLinkPath" Target="/SRUTHI/To%20CFO/P&amp;L/TB/may%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balancePDS.rpt"/>
    </sheetNames>
    <sheetDataSet>
      <sheetData sheetId="0">
        <row r="2">
          <cell r="J2">
            <v>-142126544.43000001</v>
          </cell>
          <cell r="K2" t="str">
            <v>PHARMACY REVENUE-NON TAXABLE</v>
          </cell>
        </row>
        <row r="3">
          <cell r="J3">
            <v>-34446518.019999996</v>
          </cell>
          <cell r="K3" t="str">
            <v>PHARMACY REVENUE-TAXABLE</v>
          </cell>
        </row>
        <row r="4">
          <cell r="J4">
            <v>0</v>
          </cell>
          <cell r="K4" t="str">
            <v>HEALTHCARE SERVICE-CAMP</v>
          </cell>
        </row>
        <row r="5">
          <cell r="J5">
            <v>-29143684.050000001</v>
          </cell>
          <cell r="K5" t="str">
            <v>OTHER HEALTHCARE SERVICES-OP</v>
          </cell>
        </row>
        <row r="6">
          <cell r="J6">
            <v>-39699984.469999999</v>
          </cell>
          <cell r="K6" t="str">
            <v>LABORATORY &amp; DIAG. SERVICES-OP</v>
          </cell>
        </row>
        <row r="7">
          <cell r="J7">
            <v>-367422</v>
          </cell>
          <cell r="K7" t="str">
            <v>COSMETIC SURGERY COLLECTION-IP</v>
          </cell>
        </row>
        <row r="8">
          <cell r="J8">
            <v>-85205.08</v>
          </cell>
          <cell r="K8" t="str">
            <v>GUEST LAUNDRY SERVICES-IP</v>
          </cell>
        </row>
        <row r="9">
          <cell r="J9">
            <v>-42847739</v>
          </cell>
          <cell r="K9" t="str">
            <v>LABORATORY &amp; DIAG. SERVICES-IP</v>
          </cell>
        </row>
        <row r="10">
          <cell r="J10">
            <v>-144043409.90000001</v>
          </cell>
          <cell r="K10" t="str">
            <v>OTHER HEALTHCARE SERVICES- IP</v>
          </cell>
        </row>
        <row r="11">
          <cell r="J11">
            <v>-260500</v>
          </cell>
          <cell r="K11" t="str">
            <v>ROOM RENT TAXABLE</v>
          </cell>
        </row>
        <row r="12">
          <cell r="J12">
            <v>-703796.8</v>
          </cell>
          <cell r="K12" t="str">
            <v>BLOOD BANK COLLECTION-OP</v>
          </cell>
        </row>
        <row r="13">
          <cell r="J13">
            <v>3770.89</v>
          </cell>
          <cell r="K13" t="str">
            <v>CASUALITY PHARMACY - OP</v>
          </cell>
        </row>
        <row r="14">
          <cell r="J14">
            <v>-250000</v>
          </cell>
          <cell r="K14" t="str">
            <v>INCOME FROM CLINICAL STUDIES</v>
          </cell>
        </row>
        <row r="15">
          <cell r="J15">
            <v>-15000</v>
          </cell>
          <cell r="K15" t="str">
            <v>OTHER HEALTH SERVICES AYURVEDA</v>
          </cell>
        </row>
        <row r="16">
          <cell r="J16">
            <v>-19384.7</v>
          </cell>
          <cell r="K16" t="str">
            <v>INTEREST RECEIVED ON FD</v>
          </cell>
        </row>
        <row r="17">
          <cell r="J17">
            <v>-7590013.5</v>
          </cell>
          <cell r="K17" t="str">
            <v>VPS GOURMET FOOD COLLECTION</v>
          </cell>
        </row>
        <row r="18">
          <cell r="J18">
            <v>0</v>
          </cell>
          <cell r="K18" t="str">
            <v>DISCOUNT RECEIVED</v>
          </cell>
        </row>
        <row r="19">
          <cell r="J19">
            <v>-1632.22</v>
          </cell>
          <cell r="K19" t="str">
            <v>MISCELLANEOUS INCOME</v>
          </cell>
        </row>
        <row r="20">
          <cell r="J20">
            <v>-170021</v>
          </cell>
          <cell r="K20" t="str">
            <v>NOTICE PAY</v>
          </cell>
        </row>
        <row r="21">
          <cell r="J21">
            <v>-119.22000000000001</v>
          </cell>
          <cell r="K21" t="str">
            <v>ROUND OFF A/C</v>
          </cell>
        </row>
        <row r="22">
          <cell r="J22">
            <v>-47357.62</v>
          </cell>
          <cell r="K22" t="str">
            <v>SALE OF SCRAP &amp; WASTE</v>
          </cell>
        </row>
        <row r="23">
          <cell r="J23">
            <v>-6738</v>
          </cell>
          <cell r="K23" t="str">
            <v>SUPPLY OF MANPOWER</v>
          </cell>
        </row>
        <row r="24">
          <cell r="J24">
            <v>0</v>
          </cell>
          <cell r="K24" t="str">
            <v>VALET PARKING INCOME</v>
          </cell>
        </row>
        <row r="25">
          <cell r="J25">
            <v>-204862</v>
          </cell>
          <cell r="K25" t="str">
            <v>RENT RECEIVED</v>
          </cell>
        </row>
        <row r="26">
          <cell r="J26">
            <v>-67797</v>
          </cell>
          <cell r="K26" t="str">
            <v>AGOI FELLOWSHIP FEE</v>
          </cell>
        </row>
        <row r="27">
          <cell r="J27">
            <v>-525000</v>
          </cell>
          <cell r="K27" t="str">
            <v>DNB TRAINING FEE RECEIVED</v>
          </cell>
        </row>
        <row r="28">
          <cell r="J28">
            <v>-447442</v>
          </cell>
          <cell r="K28" t="str">
            <v>TRAINING FEE RECEIVED</v>
          </cell>
        </row>
        <row r="29">
          <cell r="J29">
            <v>-2341.5300000000002</v>
          </cell>
          <cell r="K29" t="str">
            <v>ACLS/BLS COURSE FEE FROM STUDENTS</v>
          </cell>
        </row>
        <row r="30">
          <cell r="J30">
            <v>45047582.149999999</v>
          </cell>
          <cell r="K30" t="str">
            <v>PURCHASE-MEDICAL STORE</v>
          </cell>
        </row>
        <row r="31">
          <cell r="J31">
            <v>51021203.560000002</v>
          </cell>
          <cell r="K31" t="str">
            <v>PURCHASE-CONSUMABLE(GS)</v>
          </cell>
        </row>
        <row r="32">
          <cell r="J32">
            <v>880539.56</v>
          </cell>
          <cell r="K32" t="str">
            <v>PURCHASE-INSTRUMENTS(GS)</v>
          </cell>
        </row>
        <row r="33">
          <cell r="J33">
            <v>16244.72</v>
          </cell>
          <cell r="K33" t="str">
            <v>PURCHASE-MEDICAL CONSUMABLE(GS)</v>
          </cell>
        </row>
        <row r="34">
          <cell r="J34">
            <v>601632.36</v>
          </cell>
          <cell r="K34" t="str">
            <v>PURCHASE-MEDICAL GAS(GS)</v>
          </cell>
        </row>
        <row r="35">
          <cell r="J35">
            <v>6485.72</v>
          </cell>
          <cell r="K35" t="str">
            <v>PURCHASE-MEDICINES(GS)</v>
          </cell>
        </row>
        <row r="36">
          <cell r="J36">
            <v>23629666.68</v>
          </cell>
          <cell r="K36" t="str">
            <v>PURCHASE-ONCOLOGY STORE</v>
          </cell>
        </row>
        <row r="37">
          <cell r="J37">
            <v>1874632.09</v>
          </cell>
          <cell r="K37" t="str">
            <v>PURCHASE-CONSIGNMENT STORE</v>
          </cell>
        </row>
        <row r="38">
          <cell r="J38">
            <v>101355.94</v>
          </cell>
          <cell r="K38" t="str">
            <v>FA-FURNITURE &amp; FIXTURES (DIRECT)</v>
          </cell>
        </row>
        <row r="39">
          <cell r="J39">
            <v>73750</v>
          </cell>
          <cell r="K39" t="str">
            <v>COMPLEMENTRY TO EXECUTIVE CHECK UP</v>
          </cell>
        </row>
        <row r="40">
          <cell r="J40">
            <v>776623.5</v>
          </cell>
          <cell r="K40" t="str">
            <v>CONCESSION LABORATORY &amp; DIAG. SERVICES-IP</v>
          </cell>
        </row>
        <row r="41">
          <cell r="J41">
            <v>1112356</v>
          </cell>
          <cell r="K41" t="str">
            <v>CONCESSION LABORATORY &amp; DIAG. SERVICES-OP</v>
          </cell>
        </row>
        <row r="42">
          <cell r="J42">
            <v>1801896.31</v>
          </cell>
          <cell r="K42" t="str">
            <v>CONCESSION OTHER HEALTHCARE SERVICES - IP</v>
          </cell>
        </row>
        <row r="43">
          <cell r="J43">
            <v>10613.09</v>
          </cell>
          <cell r="K43" t="str">
            <v>CONCESSION VPS GOURMET FOOD COLLECTION</v>
          </cell>
        </row>
        <row r="44">
          <cell r="J44">
            <v>0</v>
          </cell>
          <cell r="K44" t="str">
            <v>CONCESSION-OP CONSULTATION</v>
          </cell>
        </row>
        <row r="45">
          <cell r="J45">
            <v>1385327.3</v>
          </cell>
          <cell r="K45" t="str">
            <v>CONCESSION-OTHER HEALTHCARE SERVICES-OP</v>
          </cell>
        </row>
        <row r="46">
          <cell r="J46">
            <v>18836.04</v>
          </cell>
          <cell r="K46" t="str">
            <v>CONCESSION-PHARMACY NONTAXABLE</v>
          </cell>
        </row>
        <row r="47">
          <cell r="J47">
            <v>1753559.6</v>
          </cell>
          <cell r="K47" t="str">
            <v>CONCESSION-PHARMACY TAXABLE</v>
          </cell>
        </row>
        <row r="48">
          <cell r="J48">
            <v>1851222.09</v>
          </cell>
          <cell r="K48" t="str">
            <v>CREDIT DISCOUNT A/C - ON LINE</v>
          </cell>
        </row>
        <row r="49">
          <cell r="J49">
            <v>63685.03</v>
          </cell>
          <cell r="K49" t="str">
            <v>CREDIT DISPUTE A/C - ON LINE</v>
          </cell>
        </row>
        <row r="50">
          <cell r="J50">
            <v>3542560.73</v>
          </cell>
          <cell r="K50" t="str">
            <v>IP EXTRA DISCOUNT ACCOUNT</v>
          </cell>
        </row>
        <row r="51">
          <cell r="J51">
            <v>0</v>
          </cell>
          <cell r="K51" t="str">
            <v>OP CREDIT A/C - ON LINE</v>
          </cell>
        </row>
        <row r="52">
          <cell r="J52">
            <v>361114.83</v>
          </cell>
          <cell r="K52" t="str">
            <v>PURCHASE-ASSETS(GS)</v>
          </cell>
        </row>
        <row r="53">
          <cell r="J53">
            <v>1356900</v>
          </cell>
          <cell r="K53" t="str">
            <v>REMUNERATION TO MD</v>
          </cell>
        </row>
        <row r="54">
          <cell r="J54">
            <v>5649906</v>
          </cell>
          <cell r="K54" t="str">
            <v>SALARY TO DOCTORS</v>
          </cell>
        </row>
        <row r="55">
          <cell r="J55">
            <v>-7160</v>
          </cell>
          <cell r="K55" t="str">
            <v>FOOD RECOVERY</v>
          </cell>
        </row>
        <row r="56">
          <cell r="J56">
            <v>52533597</v>
          </cell>
          <cell r="K56" t="str">
            <v>SALARIES &amp; ALLOWANCES</v>
          </cell>
        </row>
        <row r="57">
          <cell r="J57">
            <v>3830440</v>
          </cell>
          <cell r="K57" t="str">
            <v>DNB TRAINING FEE</v>
          </cell>
        </row>
        <row r="58">
          <cell r="J58">
            <v>68092</v>
          </cell>
          <cell r="K58" t="str">
            <v>ESI EMPLYERS SHARE</v>
          </cell>
        </row>
        <row r="59">
          <cell r="J59">
            <v>101340</v>
          </cell>
          <cell r="K59" t="str">
            <v>PF ADMIN CHARGES</v>
          </cell>
        </row>
        <row r="60">
          <cell r="J60">
            <v>2432176</v>
          </cell>
          <cell r="K60" t="str">
            <v>PF EMPLOYERS SHARE</v>
          </cell>
        </row>
        <row r="61">
          <cell r="J61">
            <v>18000</v>
          </cell>
          <cell r="K61" t="str">
            <v>DNB EXAM EXPENSES</v>
          </cell>
        </row>
        <row r="62">
          <cell r="J62">
            <v>724516.58</v>
          </cell>
          <cell r="K62" t="str">
            <v>STAFF WELFARE EXPENSES</v>
          </cell>
        </row>
        <row r="63">
          <cell r="J63">
            <v>193318.97</v>
          </cell>
          <cell r="K63" t="str">
            <v>BANK CHARGE- CARD SWIPING</v>
          </cell>
        </row>
        <row r="64">
          <cell r="J64">
            <v>22522.62</v>
          </cell>
          <cell r="K64" t="str">
            <v>BANK CHARGES</v>
          </cell>
        </row>
        <row r="65">
          <cell r="J65">
            <v>733728</v>
          </cell>
          <cell r="K65" t="str">
            <v>FUEL CHARGES</v>
          </cell>
        </row>
        <row r="66">
          <cell r="J66">
            <v>98730</v>
          </cell>
          <cell r="K66" t="str">
            <v>WATER ANALYSIS CHARGES</v>
          </cell>
        </row>
        <row r="67">
          <cell r="J67">
            <v>0</v>
          </cell>
          <cell r="K67" t="str">
            <v>WATER CHARGES</v>
          </cell>
        </row>
        <row r="68">
          <cell r="J68">
            <v>8830292</v>
          </cell>
          <cell r="K68" t="str">
            <v>ELECTRICITY CHARGES</v>
          </cell>
        </row>
        <row r="69">
          <cell r="J69">
            <v>615478</v>
          </cell>
          <cell r="K69" t="str">
            <v>ELECTRICITY CHARGES-POWER SAVING SHARE</v>
          </cell>
        </row>
        <row r="70">
          <cell r="J70">
            <v>40000</v>
          </cell>
          <cell r="K70" t="str">
            <v>SITTING FEE PAID</v>
          </cell>
        </row>
        <row r="71">
          <cell r="J71">
            <v>47304507</v>
          </cell>
          <cell r="K71" t="str">
            <v>CONSULTATION &amp; PROF. FEE DOCTORS</v>
          </cell>
        </row>
        <row r="72">
          <cell r="J72">
            <v>9917945</v>
          </cell>
          <cell r="K72" t="str">
            <v>CONSULTATION&amp; PROF.FEE LHRC SHARE</v>
          </cell>
        </row>
        <row r="73">
          <cell r="J73">
            <v>5052625</v>
          </cell>
          <cell r="K73" t="str">
            <v>CONSULTATION &amp; PROF.FEE VISIT DOCS</v>
          </cell>
        </row>
        <row r="74">
          <cell r="J74">
            <v>10148399.030000001</v>
          </cell>
          <cell r="K74" t="str">
            <v>HOUSE KEEPING EXPENSES</v>
          </cell>
        </row>
        <row r="75">
          <cell r="J75">
            <v>873319</v>
          </cell>
          <cell r="K75" t="str">
            <v>LAUNDRY EXPENSES</v>
          </cell>
        </row>
        <row r="76">
          <cell r="J76">
            <v>90621</v>
          </cell>
          <cell r="K76" t="str">
            <v>WASTE REMOVAL</v>
          </cell>
        </row>
        <row r="77">
          <cell r="J77">
            <v>2950202</v>
          </cell>
          <cell r="K77" t="str">
            <v>LAB TEST CHARGES PAID</v>
          </cell>
        </row>
        <row r="78">
          <cell r="J78">
            <v>127629</v>
          </cell>
          <cell r="K78" t="str">
            <v>BED CHARGES</v>
          </cell>
        </row>
        <row r="79">
          <cell r="J79">
            <v>203707</v>
          </cell>
          <cell r="K79" t="str">
            <v>EQUIPMENT RENT</v>
          </cell>
        </row>
        <row r="80">
          <cell r="J80">
            <v>970490</v>
          </cell>
          <cell r="K80" t="str">
            <v>RENT PAID</v>
          </cell>
        </row>
        <row r="81">
          <cell r="J81">
            <v>258920.39</v>
          </cell>
          <cell r="K81" t="str">
            <v>CIVIL MAINT. MATERIALS EXPENSES</v>
          </cell>
        </row>
        <row r="82">
          <cell r="J82">
            <v>117250</v>
          </cell>
          <cell r="K82" t="str">
            <v>REPAIRS TO BUILDING(NEW)</v>
          </cell>
        </row>
        <row r="83">
          <cell r="J83">
            <v>128650</v>
          </cell>
          <cell r="K83" t="str">
            <v>REPAIRS TO BUILDING(OLD)</v>
          </cell>
        </row>
        <row r="84">
          <cell r="J84">
            <v>5315489.5199999996</v>
          </cell>
          <cell r="K84" t="str">
            <v>AMC/CMC CHARGES</v>
          </cell>
        </row>
        <row r="85">
          <cell r="J85">
            <v>358942.88</v>
          </cell>
          <cell r="K85" t="str">
            <v>REPAIRS TO MACHINERY</v>
          </cell>
        </row>
        <row r="86">
          <cell r="J86">
            <v>349819.99</v>
          </cell>
          <cell r="K86" t="str">
            <v>REPAIRS TO EQUIPMENTS</v>
          </cell>
        </row>
        <row r="87">
          <cell r="J87">
            <v>0</v>
          </cell>
          <cell r="K87" t="str">
            <v>REPAIRS - ELECTRICAL</v>
          </cell>
        </row>
        <row r="88">
          <cell r="J88">
            <v>46778</v>
          </cell>
          <cell r="K88" t="str">
            <v>REPAIRS - VEHICLES</v>
          </cell>
        </row>
        <row r="89">
          <cell r="J89">
            <v>224943</v>
          </cell>
          <cell r="K89" t="str">
            <v>REPAIRS &amp; MAINTENANCE</v>
          </cell>
        </row>
        <row r="90">
          <cell r="J90">
            <v>226495.40000000002</v>
          </cell>
          <cell r="K90" t="str">
            <v>SOFTWARE MAINTENANCE EXPENSES</v>
          </cell>
        </row>
        <row r="91">
          <cell r="J91">
            <v>2000</v>
          </cell>
          <cell r="K91" t="str">
            <v>INSURANCE FOR LIFT</v>
          </cell>
        </row>
        <row r="92">
          <cell r="J92">
            <v>306754.38</v>
          </cell>
          <cell r="K92" t="str">
            <v>INSURANCE FOR OTHERS</v>
          </cell>
        </row>
        <row r="93">
          <cell r="J93">
            <v>12691.82</v>
          </cell>
          <cell r="K93" t="str">
            <v>INSURANCE VEHICLES</v>
          </cell>
        </row>
        <row r="94">
          <cell r="J94">
            <v>97962.37</v>
          </cell>
          <cell r="K94" t="str">
            <v>LICENSE FEE PAID</v>
          </cell>
        </row>
        <row r="95">
          <cell r="J95">
            <v>1196.28</v>
          </cell>
          <cell r="K95" t="str">
            <v>NABH ACCREDITATION ANUAL FEE</v>
          </cell>
        </row>
        <row r="96">
          <cell r="J96">
            <v>25525</v>
          </cell>
          <cell r="K96" t="str">
            <v>RATES &amp; TAXES A/C</v>
          </cell>
        </row>
        <row r="97">
          <cell r="J97">
            <v>55000</v>
          </cell>
          <cell r="K97" t="str">
            <v>ETHICS COMMITTEE MEETING EXPENSE/INCOME</v>
          </cell>
        </row>
        <row r="98">
          <cell r="J98">
            <v>91062</v>
          </cell>
          <cell r="K98" t="str">
            <v>MISCELLANEOUS EXPENSES</v>
          </cell>
        </row>
        <row r="99">
          <cell r="J99">
            <v>0.01</v>
          </cell>
          <cell r="K99" t="str">
            <v>ROUND OFF</v>
          </cell>
        </row>
        <row r="100">
          <cell r="J100">
            <v>796994</v>
          </cell>
          <cell r="K100" t="str">
            <v>STAFF HIRING CHARGES</v>
          </cell>
        </row>
        <row r="101">
          <cell r="J101">
            <v>38444</v>
          </cell>
          <cell r="K101" t="str">
            <v>SUBSCRIPTION TO TV</v>
          </cell>
        </row>
        <row r="102">
          <cell r="J102">
            <v>318123.99</v>
          </cell>
          <cell r="K102" t="str">
            <v>SUBSCRIPTIONS &amp; PERIODICALS</v>
          </cell>
        </row>
        <row r="103">
          <cell r="J103">
            <v>1791119.7</v>
          </cell>
          <cell r="K103" t="str">
            <v>PRINTING &amp; STATIONERY</v>
          </cell>
        </row>
        <row r="104">
          <cell r="J104">
            <v>221000</v>
          </cell>
          <cell r="K104" t="str">
            <v>ADVERTISEMENT CHARGES</v>
          </cell>
        </row>
        <row r="105">
          <cell r="J105">
            <v>586731.80000000005</v>
          </cell>
          <cell r="K105" t="str">
            <v>INCENTIVE - HISTOPATHOLOGY</v>
          </cell>
        </row>
        <row r="106">
          <cell r="J106">
            <v>0</v>
          </cell>
          <cell r="K106" t="str">
            <v>INCENTIVE - MEDICAL ONCOLOGY</v>
          </cell>
        </row>
        <row r="107">
          <cell r="J107">
            <v>3500</v>
          </cell>
          <cell r="K107" t="str">
            <v>DONATION</v>
          </cell>
        </row>
        <row r="108">
          <cell r="J108">
            <v>6840</v>
          </cell>
          <cell r="K108" t="str">
            <v>INTEREST ON GST</v>
          </cell>
        </row>
        <row r="109">
          <cell r="J109">
            <v>2350</v>
          </cell>
          <cell r="K109" t="str">
            <v>POOJA EXPENSES</v>
          </cell>
        </row>
        <row r="110">
          <cell r="J110">
            <v>19032</v>
          </cell>
          <cell r="K110" t="str">
            <v>POSTAGE &amp; COURIER CHARGES</v>
          </cell>
        </row>
        <row r="111">
          <cell r="J111">
            <v>23600</v>
          </cell>
          <cell r="K111" t="str">
            <v>ADVOCATE FEES</v>
          </cell>
        </row>
        <row r="112">
          <cell r="J112">
            <v>2550</v>
          </cell>
          <cell r="K112" t="str">
            <v>LEGAL &amp; PROFESSIONAL EXPENSES</v>
          </cell>
        </row>
        <row r="113">
          <cell r="J113">
            <v>141600</v>
          </cell>
          <cell r="K113" t="str">
            <v>NABL ACCREDITION EXPENSES</v>
          </cell>
        </row>
        <row r="114">
          <cell r="J114">
            <v>500</v>
          </cell>
          <cell r="K114" t="str">
            <v>PATIENT PREPARATION CHARGES</v>
          </cell>
        </row>
        <row r="115">
          <cell r="J115">
            <v>1232925</v>
          </cell>
          <cell r="K115" t="str">
            <v>PROFESSIONAL CHARGES</v>
          </cell>
        </row>
        <row r="116">
          <cell r="J116">
            <v>93945</v>
          </cell>
          <cell r="K116" t="str">
            <v>CME EXPENSES-MARKETING</v>
          </cell>
        </row>
        <row r="117">
          <cell r="J117">
            <v>3342761</v>
          </cell>
          <cell r="K117" t="str">
            <v>PROMOTIONAL EXPENDITURE</v>
          </cell>
        </row>
        <row r="118">
          <cell r="J118">
            <v>1842536</v>
          </cell>
          <cell r="K118" t="str">
            <v>SECURITY EXPENSES</v>
          </cell>
        </row>
        <row r="119">
          <cell r="J119">
            <v>221649</v>
          </cell>
          <cell r="K119" t="str">
            <v>TELEPHONE &amp; MOBILE CHARGES</v>
          </cell>
        </row>
        <row r="120">
          <cell r="J120">
            <v>1403181.05</v>
          </cell>
          <cell r="K120" t="str">
            <v>MARKETING EXPENSES</v>
          </cell>
        </row>
        <row r="121">
          <cell r="J121">
            <v>165998</v>
          </cell>
          <cell r="K121" t="str">
            <v>TRAVELLING &amp; ACCOMODATION EXPENSES</v>
          </cell>
        </row>
        <row r="122">
          <cell r="J122">
            <v>67483</v>
          </cell>
          <cell r="K122" t="str">
            <v>TRAVELLING &amp; ACCOMODATION EXPENSES- MARKETING</v>
          </cell>
        </row>
        <row r="123">
          <cell r="J123">
            <v>2950</v>
          </cell>
          <cell r="K123" t="str">
            <v>VEHICLE EXPENSES</v>
          </cell>
        </row>
        <row r="124">
          <cell r="J124">
            <v>26383396</v>
          </cell>
          <cell r="K124" t="str">
            <v>DEPRECIATION</v>
          </cell>
        </row>
        <row r="125">
          <cell r="J125">
            <v>0</v>
          </cell>
          <cell r="K125" t="str">
            <v>KOZHIKODE RENT PAID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balancePDS.rpt"/>
    </sheetNames>
    <sheetDataSet>
      <sheetData sheetId="0">
        <row r="2">
          <cell r="I2" t="str">
            <v>NET</v>
          </cell>
        </row>
        <row r="3">
          <cell r="I3">
            <v>-142126544.43000001</v>
          </cell>
          <cell r="J3" t="str">
            <v>PHARMACY REVENUE-NON TAXABLE</v>
          </cell>
        </row>
        <row r="4">
          <cell r="I4">
            <v>-34446518.019999996</v>
          </cell>
          <cell r="J4" t="str">
            <v>PHARMACY REVENUE-TAXABLE</v>
          </cell>
        </row>
        <row r="5">
          <cell r="I5">
            <v>0</v>
          </cell>
          <cell r="J5" t="str">
            <v>HEALTHCARE SERVICE-CAMP</v>
          </cell>
        </row>
        <row r="6">
          <cell r="I6">
            <v>-29143684.050000001</v>
          </cell>
          <cell r="J6" t="str">
            <v>OTHER HEALTHCARE SERVICES-OP</v>
          </cell>
        </row>
        <row r="7">
          <cell r="I7">
            <v>-39699984.469999999</v>
          </cell>
          <cell r="J7" t="str">
            <v>LABORATORY &amp; DIAG. SERVICES-OP</v>
          </cell>
        </row>
        <row r="8">
          <cell r="I8">
            <v>-367422</v>
          </cell>
          <cell r="J8" t="str">
            <v>COSMETIC SURGERY COLLECTION-IP</v>
          </cell>
        </row>
        <row r="9">
          <cell r="I9">
            <v>-85205.08</v>
          </cell>
          <cell r="J9" t="str">
            <v>GUEST LAUNDRY SERVICES-IP</v>
          </cell>
        </row>
        <row r="10">
          <cell r="I10">
            <v>-42847739</v>
          </cell>
          <cell r="J10" t="str">
            <v>LABORATORY &amp; DIAG. SERVICES-IP</v>
          </cell>
        </row>
        <row r="11">
          <cell r="I11">
            <v>-144043409.90000001</v>
          </cell>
          <cell r="J11" t="str">
            <v>OTHER HEALTHCARE SERVICES- IP</v>
          </cell>
        </row>
        <row r="12">
          <cell r="I12">
            <v>-260500</v>
          </cell>
          <cell r="J12" t="str">
            <v>ROOM RENT TAXABLE</v>
          </cell>
        </row>
        <row r="13">
          <cell r="I13">
            <v>-703796.8</v>
          </cell>
          <cell r="J13" t="str">
            <v>BLOOD BANK COLLECTION-OP</v>
          </cell>
        </row>
        <row r="14">
          <cell r="I14">
            <v>3770.89</v>
          </cell>
          <cell r="J14" t="str">
            <v>CASUALITY PHARMACY - OP</v>
          </cell>
        </row>
        <row r="15">
          <cell r="I15">
            <v>-250000</v>
          </cell>
          <cell r="J15" t="str">
            <v>INCOME FROM CLINICAL STUDIES</v>
          </cell>
        </row>
        <row r="16">
          <cell r="I16">
            <v>-15000</v>
          </cell>
          <cell r="J16" t="str">
            <v>OTHER HEALTH SERVICES AYURVEDA</v>
          </cell>
        </row>
        <row r="17">
          <cell r="I17">
            <v>-19384.7</v>
          </cell>
          <cell r="J17" t="str">
            <v>INTEREST RECEIVED ON FD</v>
          </cell>
        </row>
        <row r="18">
          <cell r="I18">
            <v>-7590013.5</v>
          </cell>
          <cell r="J18" t="str">
            <v>VPS GOURMET FOOD COLLECTION</v>
          </cell>
        </row>
        <row r="19">
          <cell r="I19">
            <v>0</v>
          </cell>
          <cell r="J19" t="str">
            <v>DISCOUNT RECEIVED</v>
          </cell>
        </row>
        <row r="20">
          <cell r="I20">
            <v>-2132.2200000000003</v>
          </cell>
          <cell r="J20" t="str">
            <v>MISCELLANEOUS INCOME</v>
          </cell>
        </row>
        <row r="21">
          <cell r="I21">
            <v>-170021</v>
          </cell>
          <cell r="J21" t="str">
            <v>NOTICE PAY</v>
          </cell>
        </row>
        <row r="22">
          <cell r="I22">
            <v>-119.22000000000001</v>
          </cell>
          <cell r="J22" t="str">
            <v>ROUND OFF A/C</v>
          </cell>
        </row>
        <row r="23">
          <cell r="I23">
            <v>-47357.62</v>
          </cell>
          <cell r="J23" t="str">
            <v>SALE OF SCRAP &amp; WASTE</v>
          </cell>
        </row>
        <row r="24">
          <cell r="I24">
            <v>-6738</v>
          </cell>
          <cell r="J24" t="str">
            <v>SUPPLY OF MANPOWER</v>
          </cell>
        </row>
        <row r="25">
          <cell r="I25">
            <v>0</v>
          </cell>
          <cell r="J25" t="str">
            <v>VALET PARKING INCOME</v>
          </cell>
        </row>
        <row r="26">
          <cell r="I26">
            <v>-204862</v>
          </cell>
          <cell r="J26" t="str">
            <v>RENT RECEIVED</v>
          </cell>
        </row>
        <row r="27">
          <cell r="I27">
            <v>-67797</v>
          </cell>
          <cell r="J27" t="str">
            <v>AGOI FELLOWSHIP FEE</v>
          </cell>
        </row>
        <row r="28">
          <cell r="I28">
            <v>-400000</v>
          </cell>
          <cell r="J28" t="str">
            <v>DNB TRAINING FEE RECEIVED</v>
          </cell>
        </row>
        <row r="29">
          <cell r="I29">
            <v>-572442</v>
          </cell>
          <cell r="J29" t="str">
            <v>TRAINING FEE RECEIVED</v>
          </cell>
        </row>
        <row r="30">
          <cell r="I30">
            <v>-2341.5300000000002</v>
          </cell>
          <cell r="J30" t="str">
            <v>ACLS/BLS COURSE FEE FROM STUDENTS</v>
          </cell>
        </row>
        <row r="31">
          <cell r="I31">
            <v>45047582.149999999</v>
          </cell>
          <cell r="J31" t="str">
            <v>PURCHASE-MEDICAL STORE</v>
          </cell>
        </row>
        <row r="32">
          <cell r="I32">
            <v>51021203.560000002</v>
          </cell>
          <cell r="J32" t="str">
            <v>PURCHASE-CONSUMABLE(GS)</v>
          </cell>
        </row>
        <row r="33">
          <cell r="I33">
            <v>880539.56</v>
          </cell>
          <cell r="J33" t="str">
            <v>PURCHASE-INSTRUMENTS(GS)</v>
          </cell>
        </row>
        <row r="34">
          <cell r="I34">
            <v>16244.72</v>
          </cell>
          <cell r="J34" t="str">
            <v>PURCHASE-MEDICAL CONSUMABLE(GS)</v>
          </cell>
        </row>
        <row r="35">
          <cell r="I35">
            <v>601632.36</v>
          </cell>
          <cell r="J35" t="str">
            <v>PURCHASE-MEDICAL GAS(GS)</v>
          </cell>
        </row>
        <row r="36">
          <cell r="I36">
            <v>6485.72</v>
          </cell>
          <cell r="J36" t="str">
            <v>PURCHASE-MEDICINES(GS)</v>
          </cell>
        </row>
        <row r="37">
          <cell r="I37">
            <v>23629666.68</v>
          </cell>
          <cell r="J37" t="str">
            <v>PURCHASE-ONCOLOGY STORE</v>
          </cell>
        </row>
        <row r="38">
          <cell r="I38">
            <v>1874632.09</v>
          </cell>
          <cell r="J38" t="str">
            <v>PURCHASE-CONSIGNMENT STORE</v>
          </cell>
        </row>
        <row r="39">
          <cell r="I39">
            <v>101355.94</v>
          </cell>
          <cell r="J39" t="str">
            <v>FA-FURNITURE &amp; FIXTURES (DIRECT)</v>
          </cell>
        </row>
        <row r="40">
          <cell r="I40">
            <v>73750</v>
          </cell>
          <cell r="J40" t="str">
            <v>COMPLEMENTRY TO EXECUTIVE CHECK UP</v>
          </cell>
        </row>
        <row r="41">
          <cell r="I41">
            <v>776623.5</v>
          </cell>
          <cell r="J41" t="str">
            <v>CONCESSION LABORATORY &amp; DIAG. SERVICES-IP</v>
          </cell>
        </row>
        <row r="42">
          <cell r="I42">
            <v>1112356</v>
          </cell>
          <cell r="J42" t="str">
            <v>CONCESSION LABORATORY &amp; DIAG. SERVICES-OP</v>
          </cell>
        </row>
        <row r="43">
          <cell r="I43">
            <v>1801896.31</v>
          </cell>
          <cell r="J43" t="str">
            <v>CONCESSION OTHER HEALTHCARE SERVICES - IP</v>
          </cell>
        </row>
        <row r="44">
          <cell r="I44">
            <v>10613.09</v>
          </cell>
          <cell r="J44" t="str">
            <v>CONCESSION VPS GOURMET FOOD COLLECTION</v>
          </cell>
        </row>
        <row r="45">
          <cell r="I45">
            <v>0</v>
          </cell>
          <cell r="J45" t="str">
            <v>CONCESSION-OP CONSULTATION</v>
          </cell>
        </row>
        <row r="46">
          <cell r="I46">
            <v>1385327.3</v>
          </cell>
          <cell r="J46" t="str">
            <v>CONCESSION-OTHER HEALTHCARE SERVICES-OP</v>
          </cell>
        </row>
        <row r="47">
          <cell r="I47">
            <v>18836.04</v>
          </cell>
          <cell r="J47" t="str">
            <v>CONCESSION-PHARMACY NONTAXABLE</v>
          </cell>
        </row>
        <row r="48">
          <cell r="I48">
            <v>1753559.6</v>
          </cell>
          <cell r="J48" t="str">
            <v>CONCESSION-PHARMACY TAXABLE</v>
          </cell>
        </row>
        <row r="49">
          <cell r="I49">
            <v>1851222.09</v>
          </cell>
          <cell r="J49" t="str">
            <v>CREDIT DISCOUNT A/C - ON LINE</v>
          </cell>
        </row>
        <row r="50">
          <cell r="I50">
            <v>63685.03</v>
          </cell>
          <cell r="J50" t="str">
            <v>CREDIT DISPUTE A/C - ON LINE</v>
          </cell>
        </row>
        <row r="51">
          <cell r="I51">
            <v>3542560.73</v>
          </cell>
          <cell r="J51" t="str">
            <v>IP EXTRA DISCOUNT ACCOUNT</v>
          </cell>
        </row>
        <row r="52">
          <cell r="I52">
            <v>0</v>
          </cell>
          <cell r="J52" t="str">
            <v>OP CREDIT A/C - ON LINE</v>
          </cell>
        </row>
        <row r="53">
          <cell r="I53">
            <v>361114.83</v>
          </cell>
          <cell r="J53" t="str">
            <v>PURCHASE-ASSETS(GS)</v>
          </cell>
        </row>
        <row r="54">
          <cell r="I54">
            <v>1356900</v>
          </cell>
          <cell r="J54" t="str">
            <v>REMUNERATION TO MD</v>
          </cell>
        </row>
        <row r="55">
          <cell r="I55">
            <v>5649906</v>
          </cell>
          <cell r="J55" t="str">
            <v>SALARY TO DOCTORS</v>
          </cell>
        </row>
        <row r="56">
          <cell r="I56">
            <v>-7160</v>
          </cell>
          <cell r="J56" t="str">
            <v>FOOD RECOVERY</v>
          </cell>
        </row>
        <row r="57">
          <cell r="I57">
            <v>52533597</v>
          </cell>
          <cell r="J57" t="str">
            <v>SALARIES &amp; ALLOWANCES</v>
          </cell>
        </row>
        <row r="58">
          <cell r="I58">
            <v>3830440</v>
          </cell>
          <cell r="J58" t="str">
            <v>DNB TRAINING FEE</v>
          </cell>
        </row>
        <row r="59">
          <cell r="I59">
            <v>68092</v>
          </cell>
          <cell r="J59" t="str">
            <v>ESI EMPLYERS SHARE</v>
          </cell>
        </row>
        <row r="60">
          <cell r="I60">
            <v>101340</v>
          </cell>
          <cell r="J60" t="str">
            <v>PF ADMIN CHARGES</v>
          </cell>
        </row>
        <row r="61">
          <cell r="I61">
            <v>2432176</v>
          </cell>
          <cell r="J61" t="str">
            <v>PF EMPLOYERS SHARE</v>
          </cell>
        </row>
        <row r="62">
          <cell r="I62">
            <v>724516.58</v>
          </cell>
          <cell r="J62" t="str">
            <v>STAFF WELFARE EXPENSES</v>
          </cell>
        </row>
        <row r="63">
          <cell r="I63">
            <v>193318.97</v>
          </cell>
          <cell r="J63" t="str">
            <v>BANK CHARGE- CARD SWIPING</v>
          </cell>
        </row>
        <row r="64">
          <cell r="I64">
            <v>22227.360000000001</v>
          </cell>
          <cell r="J64" t="str">
            <v>BANK CHARGES</v>
          </cell>
        </row>
        <row r="65">
          <cell r="I65">
            <v>733728</v>
          </cell>
          <cell r="J65" t="str">
            <v>FUEL CHARGES</v>
          </cell>
        </row>
        <row r="66">
          <cell r="I66">
            <v>98730</v>
          </cell>
          <cell r="J66" t="str">
            <v>WATER ANALYSIS CHARGES</v>
          </cell>
        </row>
        <row r="67">
          <cell r="I67">
            <v>0</v>
          </cell>
          <cell r="J67" t="str">
            <v>WATER CHARGES</v>
          </cell>
        </row>
        <row r="68">
          <cell r="I68">
            <v>8830292</v>
          </cell>
          <cell r="J68" t="str">
            <v>ELECTRICITY CHARGES</v>
          </cell>
        </row>
        <row r="69">
          <cell r="I69">
            <v>615478</v>
          </cell>
          <cell r="J69" t="str">
            <v>ELECTRICITY CHARGES-POWER SAVING SHARE</v>
          </cell>
        </row>
        <row r="70">
          <cell r="I70">
            <v>40000</v>
          </cell>
          <cell r="J70" t="str">
            <v>SITTING FEE PAID</v>
          </cell>
        </row>
        <row r="71">
          <cell r="I71">
            <v>47304507</v>
          </cell>
          <cell r="J71" t="str">
            <v>CONSULTATION &amp; PROF. FEE DOCTORS</v>
          </cell>
        </row>
        <row r="72">
          <cell r="I72">
            <v>9917945</v>
          </cell>
          <cell r="J72" t="str">
            <v>CONSULTATION&amp; PROF.FEE LHRC SHARE</v>
          </cell>
        </row>
        <row r="73">
          <cell r="I73">
            <v>5052625</v>
          </cell>
          <cell r="J73" t="str">
            <v>CONSULTATION &amp; PROF.FEE VISIT DOCS</v>
          </cell>
        </row>
        <row r="74">
          <cell r="I74">
            <v>10148399.030000001</v>
          </cell>
          <cell r="J74" t="str">
            <v>HOUSE KEEPING EXPENSES</v>
          </cell>
        </row>
        <row r="75">
          <cell r="I75">
            <v>873319</v>
          </cell>
          <cell r="J75" t="str">
            <v>LAUNDRY EXPENSES</v>
          </cell>
        </row>
        <row r="76">
          <cell r="I76">
            <v>90621</v>
          </cell>
          <cell r="J76" t="str">
            <v>WASTE REMOVAL</v>
          </cell>
        </row>
        <row r="77">
          <cell r="I77">
            <v>2950202</v>
          </cell>
          <cell r="J77" t="str">
            <v>LAB TEST CHARGES PAID</v>
          </cell>
        </row>
        <row r="78">
          <cell r="I78">
            <v>127629</v>
          </cell>
          <cell r="J78" t="str">
            <v>BED CHARGES</v>
          </cell>
        </row>
        <row r="79">
          <cell r="I79">
            <v>203707</v>
          </cell>
          <cell r="J79" t="str">
            <v>EQUIPMENT RENT</v>
          </cell>
        </row>
        <row r="80">
          <cell r="I80">
            <v>970490</v>
          </cell>
          <cell r="J80" t="str">
            <v>RENT PAID</v>
          </cell>
        </row>
        <row r="81">
          <cell r="I81">
            <v>258920.39</v>
          </cell>
          <cell r="J81" t="str">
            <v>CIVIL MAINT. MATERIALS EXPENSES</v>
          </cell>
        </row>
        <row r="82">
          <cell r="I82">
            <v>117250</v>
          </cell>
          <cell r="J82" t="str">
            <v>REPAIRS TO BUILDING(NEW)</v>
          </cell>
        </row>
        <row r="83">
          <cell r="I83">
            <v>128650</v>
          </cell>
          <cell r="J83" t="str">
            <v>REPAIRS TO BUILDING(OLD)</v>
          </cell>
        </row>
        <row r="84">
          <cell r="I84">
            <v>2354804</v>
          </cell>
          <cell r="J84" t="str">
            <v>AMC/CMC CHARGES</v>
          </cell>
        </row>
        <row r="85">
          <cell r="I85">
            <v>358942.88</v>
          </cell>
          <cell r="J85" t="str">
            <v>REPAIRS TO MACHINERY</v>
          </cell>
        </row>
        <row r="86">
          <cell r="I86">
            <v>349819.99</v>
          </cell>
          <cell r="J86" t="str">
            <v>REPAIRS TO EQUIPMENTS</v>
          </cell>
        </row>
        <row r="87">
          <cell r="I87">
            <v>0</v>
          </cell>
          <cell r="J87" t="str">
            <v>REPAIRS - ELECTRICAL</v>
          </cell>
        </row>
        <row r="88">
          <cell r="I88">
            <v>46778</v>
          </cell>
          <cell r="J88" t="str">
            <v>REPAIRS - VEHICLES</v>
          </cell>
        </row>
        <row r="89">
          <cell r="I89">
            <v>224943</v>
          </cell>
          <cell r="J89" t="str">
            <v>REPAIRS &amp; MAINTENANCE</v>
          </cell>
        </row>
        <row r="90">
          <cell r="I90">
            <v>180910</v>
          </cell>
          <cell r="J90" t="str">
            <v>SOFTWARE MAINTENANCE EXPENSES</v>
          </cell>
        </row>
        <row r="91">
          <cell r="I91">
            <v>2000</v>
          </cell>
          <cell r="J91" t="str">
            <v>INSURANCE FOR LIFT</v>
          </cell>
        </row>
        <row r="92">
          <cell r="I92">
            <v>0</v>
          </cell>
          <cell r="J92" t="str">
            <v>INSURANCE FOR OTHERS</v>
          </cell>
        </row>
        <row r="93">
          <cell r="I93">
            <v>2498</v>
          </cell>
          <cell r="J93" t="str">
            <v>INSURANCE VEHICLES</v>
          </cell>
        </row>
        <row r="94">
          <cell r="I94">
            <v>0</v>
          </cell>
          <cell r="J94" t="str">
            <v>LICENSE FEE PAID</v>
          </cell>
        </row>
        <row r="95">
          <cell r="I95">
            <v>0</v>
          </cell>
          <cell r="J95" t="str">
            <v>NABH ACCREDITATION ANUAL FEE</v>
          </cell>
        </row>
        <row r="96">
          <cell r="I96">
            <v>13025</v>
          </cell>
          <cell r="J96" t="str">
            <v>RATES &amp; TAXES A/C</v>
          </cell>
        </row>
        <row r="97">
          <cell r="I97">
            <v>55000</v>
          </cell>
          <cell r="J97" t="str">
            <v>ETHICS COMMITTEE MEETING EXPENSE/INCOME</v>
          </cell>
        </row>
        <row r="98">
          <cell r="I98">
            <v>91062</v>
          </cell>
          <cell r="J98" t="str">
            <v>MISCELLANEOUS EXPENSES</v>
          </cell>
        </row>
        <row r="99">
          <cell r="I99">
            <v>0.01</v>
          </cell>
          <cell r="J99" t="str">
            <v>ROUND OFF</v>
          </cell>
        </row>
        <row r="100">
          <cell r="I100">
            <v>796994</v>
          </cell>
          <cell r="J100" t="str">
            <v>STAFF HIRING CHARGES</v>
          </cell>
        </row>
        <row r="101">
          <cell r="I101">
            <v>38444</v>
          </cell>
          <cell r="J101" t="str">
            <v>SUBSCRIPTION TO TV</v>
          </cell>
        </row>
        <row r="102">
          <cell r="I102">
            <v>227942</v>
          </cell>
          <cell r="J102" t="str">
            <v>SUBSCRIPTIONS &amp; PERIODICALS</v>
          </cell>
        </row>
        <row r="103">
          <cell r="I103">
            <v>1791119.7</v>
          </cell>
          <cell r="J103" t="str">
            <v>PRINTING &amp; STATIONERY</v>
          </cell>
        </row>
        <row r="104">
          <cell r="I104">
            <v>221000</v>
          </cell>
          <cell r="J104" t="str">
            <v>ADVERTISEMENT CHARGES</v>
          </cell>
        </row>
        <row r="105">
          <cell r="I105">
            <v>586731.80000000005</v>
          </cell>
          <cell r="J105" t="str">
            <v>INCENTIVE - HISTOPATHOLOGY</v>
          </cell>
        </row>
        <row r="106">
          <cell r="I106">
            <v>0</v>
          </cell>
          <cell r="J106" t="str">
            <v>INCENTIVE - MEDICAL ONCOLOGY</v>
          </cell>
        </row>
        <row r="107">
          <cell r="I107">
            <v>3500</v>
          </cell>
          <cell r="J107" t="str">
            <v>DONATION</v>
          </cell>
        </row>
        <row r="108">
          <cell r="I108">
            <v>6840</v>
          </cell>
          <cell r="J108" t="str">
            <v>INTEREST ON GST</v>
          </cell>
        </row>
        <row r="109">
          <cell r="I109">
            <v>2350</v>
          </cell>
          <cell r="J109" t="str">
            <v>POOJA EXPENSES</v>
          </cell>
        </row>
        <row r="110">
          <cell r="I110">
            <v>19032</v>
          </cell>
          <cell r="J110" t="str">
            <v>POSTAGE &amp; COURIER CHARGES</v>
          </cell>
        </row>
        <row r="111">
          <cell r="I111">
            <v>23600</v>
          </cell>
          <cell r="J111" t="str">
            <v>ADVOCATE FEES</v>
          </cell>
        </row>
        <row r="112">
          <cell r="I112">
            <v>2550</v>
          </cell>
          <cell r="J112" t="str">
            <v>LEGAL &amp; PROFESSIONAL EXPENSES</v>
          </cell>
        </row>
        <row r="113">
          <cell r="I113">
            <v>141600</v>
          </cell>
          <cell r="J113" t="str">
            <v>NABL ACCREDITION EXPENSES</v>
          </cell>
        </row>
        <row r="114">
          <cell r="I114">
            <v>500</v>
          </cell>
          <cell r="J114" t="str">
            <v>PATIENT PREPARATION CHARGES</v>
          </cell>
        </row>
        <row r="115">
          <cell r="I115">
            <v>1232925</v>
          </cell>
          <cell r="J115" t="str">
            <v>PROFESSIONAL CHARGES</v>
          </cell>
        </row>
        <row r="116">
          <cell r="I116">
            <v>93945</v>
          </cell>
          <cell r="J116" t="str">
            <v>CME EXPENSES-MARKETING</v>
          </cell>
        </row>
        <row r="117">
          <cell r="I117">
            <v>3342761</v>
          </cell>
          <cell r="J117" t="str">
            <v>PROMOTIONAL EXPENDITURE</v>
          </cell>
        </row>
        <row r="118">
          <cell r="I118">
            <v>1842536</v>
          </cell>
          <cell r="J118" t="str">
            <v>SECURITY EXPENSES</v>
          </cell>
        </row>
        <row r="119">
          <cell r="I119">
            <v>221649</v>
          </cell>
          <cell r="J119" t="str">
            <v>TELEPHONE &amp; MOBILE CHARGES</v>
          </cell>
        </row>
        <row r="120">
          <cell r="I120">
            <v>1256149</v>
          </cell>
          <cell r="J120" t="str">
            <v>MARKETING EXPENSES</v>
          </cell>
        </row>
        <row r="121">
          <cell r="I121">
            <v>165998</v>
          </cell>
          <cell r="J121" t="str">
            <v>TRAVELLING &amp; ACCOMODATION EXPENSES</v>
          </cell>
        </row>
        <row r="122">
          <cell r="I122">
            <v>67483</v>
          </cell>
          <cell r="J122" t="str">
            <v>TRAVELLING &amp; ACCOMODATION EXPENSES- MARKETING</v>
          </cell>
        </row>
        <row r="123">
          <cell r="I123">
            <v>2950</v>
          </cell>
          <cell r="J123" t="str">
            <v>VEHICLE EXPENSES</v>
          </cell>
        </row>
        <row r="124">
          <cell r="I124">
            <v>26383396</v>
          </cell>
          <cell r="J124" t="str">
            <v>DEPRECIATION</v>
          </cell>
        </row>
        <row r="125">
          <cell r="I125">
            <v>0</v>
          </cell>
          <cell r="J125" t="str">
            <v>KOZHIKODE RENT PAID</v>
          </cell>
        </row>
        <row r="126">
          <cell r="I126">
            <v>-109618729.64000008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balancePDS.rpt"/>
    </sheetNames>
    <sheetDataSet>
      <sheetData sheetId="0">
        <row r="2">
          <cell r="I2" t="str">
            <v>Net</v>
          </cell>
        </row>
        <row r="3">
          <cell r="I3">
            <v>-154.43</v>
          </cell>
          <cell r="J3" t="str">
            <v>PHARMACY REVENUE-NON TAXABLE</v>
          </cell>
        </row>
        <row r="4">
          <cell r="I4">
            <v>-1639455.93</v>
          </cell>
          <cell r="J4" t="str">
            <v>PHARMACY REVENUE-TAXABLE</v>
          </cell>
        </row>
        <row r="5">
          <cell r="I5">
            <v>136588.22</v>
          </cell>
          <cell r="J5" t="str">
            <v>LAB OUSOURCING INCOME</v>
          </cell>
        </row>
        <row r="6">
          <cell r="I6">
            <v>-749070</v>
          </cell>
          <cell r="J6" t="str">
            <v>OTHER HEALTHCARE SERVICES-OP</v>
          </cell>
        </row>
        <row r="7">
          <cell r="I7">
            <v>-471660</v>
          </cell>
          <cell r="J7" t="str">
            <v>LABORATORY &amp; DIAG. SERVICES-OP</v>
          </cell>
        </row>
        <row r="8">
          <cell r="I8">
            <v>-11769</v>
          </cell>
          <cell r="J8" t="str">
            <v>MISCELLANEOUS INCOME</v>
          </cell>
        </row>
        <row r="9">
          <cell r="I9">
            <v>1108339.18</v>
          </cell>
          <cell r="J9" t="str">
            <v>PURCHASE-MEDICAL STORE</v>
          </cell>
        </row>
        <row r="10">
          <cell r="I10">
            <v>0</v>
          </cell>
          <cell r="J10" t="str">
            <v>PURCHASE-CONSUMABLE(GS)</v>
          </cell>
        </row>
        <row r="11">
          <cell r="I11">
            <v>420</v>
          </cell>
          <cell r="J11" t="str">
            <v>PURCHASE-MEDICAL CONSUMABLE(GS)</v>
          </cell>
        </row>
        <row r="12">
          <cell r="I12">
            <v>17070</v>
          </cell>
          <cell r="J12" t="str">
            <v>CONCESSION LABORATORY &amp; DIAG. SERVICES-OP</v>
          </cell>
        </row>
        <row r="13">
          <cell r="I13">
            <v>0</v>
          </cell>
          <cell r="J13" t="str">
            <v>CONCESSION-OTHER HEALTHCARE SERVICES-OP</v>
          </cell>
        </row>
        <row r="14">
          <cell r="I14">
            <v>4.5</v>
          </cell>
          <cell r="J14" t="str">
            <v>CONCESSION-PHARMACY NONTAXABLE</v>
          </cell>
        </row>
        <row r="15">
          <cell r="I15">
            <v>3279.2000000000003</v>
          </cell>
          <cell r="J15" t="str">
            <v>CONCESSION-PHARMACY TAXABLE</v>
          </cell>
        </row>
        <row r="16">
          <cell r="I16">
            <v>195913</v>
          </cell>
          <cell r="J16" t="str">
            <v>SALARY TO DOCTORS</v>
          </cell>
        </row>
        <row r="17">
          <cell r="I17">
            <v>579101</v>
          </cell>
          <cell r="J17" t="str">
            <v>SALARIES &amp; ALLOWANCES</v>
          </cell>
        </row>
        <row r="18">
          <cell r="I18">
            <v>17950</v>
          </cell>
          <cell r="J18" t="str">
            <v>STAFF WELFARE EXPENSES</v>
          </cell>
        </row>
        <row r="19">
          <cell r="I19">
            <v>4546.26</v>
          </cell>
          <cell r="J19" t="str">
            <v>BANK CHARGE- CARD SWIPING</v>
          </cell>
        </row>
        <row r="20">
          <cell r="I20">
            <v>1732.24</v>
          </cell>
          <cell r="J20" t="str">
            <v>BANK CHARGES</v>
          </cell>
        </row>
        <row r="21">
          <cell r="I21">
            <v>8756</v>
          </cell>
          <cell r="J21" t="str">
            <v>FUEL CHARGES</v>
          </cell>
        </row>
        <row r="22">
          <cell r="I22">
            <v>154207</v>
          </cell>
          <cell r="J22" t="str">
            <v>ELECTRICITY CHARGES</v>
          </cell>
        </row>
        <row r="23">
          <cell r="I23">
            <v>843000</v>
          </cell>
          <cell r="J23" t="str">
            <v>CONSULTATION &amp; PROF. FEE DOCTORS</v>
          </cell>
        </row>
        <row r="24">
          <cell r="I24">
            <v>295530</v>
          </cell>
          <cell r="J24" t="str">
            <v>CONSULTATION &amp; PROF.FEE VISIT DOCS</v>
          </cell>
        </row>
        <row r="25">
          <cell r="I25">
            <v>79835</v>
          </cell>
          <cell r="J25" t="str">
            <v>HOUSE KEEPING EXPENSES</v>
          </cell>
        </row>
        <row r="26">
          <cell r="I26">
            <v>12562</v>
          </cell>
          <cell r="J26" t="str">
            <v>LAUNDRY EXPENSES</v>
          </cell>
        </row>
        <row r="27">
          <cell r="I27">
            <v>7109</v>
          </cell>
          <cell r="J27" t="str">
            <v>WASTE REMOVAL</v>
          </cell>
        </row>
        <row r="28">
          <cell r="I28">
            <v>0</v>
          </cell>
          <cell r="J28" t="str">
            <v>LAB TEST CHARGES PAID</v>
          </cell>
        </row>
        <row r="29">
          <cell r="I29">
            <v>24000</v>
          </cell>
          <cell r="J29" t="str">
            <v>RENT PAID</v>
          </cell>
        </row>
        <row r="30">
          <cell r="I30">
            <v>47050.66</v>
          </cell>
          <cell r="J30" t="str">
            <v>AMC/CMC CHARGES</v>
          </cell>
        </row>
        <row r="31">
          <cell r="I31">
            <v>543</v>
          </cell>
          <cell r="J31" t="str">
            <v>REPAIRS &amp; MAINTENANCE</v>
          </cell>
        </row>
        <row r="32">
          <cell r="I32">
            <v>5951</v>
          </cell>
          <cell r="J32" t="str">
            <v>INSURANCE FOR OTHERS</v>
          </cell>
        </row>
        <row r="33">
          <cell r="I33">
            <v>1561</v>
          </cell>
          <cell r="J33" t="str">
            <v>INSURANCE VEHICLES</v>
          </cell>
        </row>
        <row r="34">
          <cell r="I34">
            <v>1976.25</v>
          </cell>
          <cell r="J34" t="str">
            <v>LICENSE FEE PAID</v>
          </cell>
        </row>
        <row r="35">
          <cell r="I35">
            <v>800</v>
          </cell>
          <cell r="J35" t="str">
            <v>RATES &amp; TAXES A/C</v>
          </cell>
        </row>
        <row r="36">
          <cell r="I36">
            <v>-21.989999999999995</v>
          </cell>
          <cell r="J36" t="str">
            <v>ROUND OFF</v>
          </cell>
        </row>
        <row r="37">
          <cell r="I37">
            <v>320</v>
          </cell>
          <cell r="J37" t="str">
            <v>SUBSCRIPTIONS &amp; PERIODICALS</v>
          </cell>
        </row>
        <row r="38">
          <cell r="I38">
            <v>6330</v>
          </cell>
          <cell r="J38" t="str">
            <v>PRINTING &amp; STATIONERY</v>
          </cell>
        </row>
        <row r="39">
          <cell r="I39">
            <v>300</v>
          </cell>
          <cell r="J39" t="str">
            <v>POSTAGE &amp; COURIER CHARGES</v>
          </cell>
        </row>
        <row r="40">
          <cell r="I40">
            <v>0</v>
          </cell>
          <cell r="J40" t="str">
            <v>PROFESSIONAL CHARGES</v>
          </cell>
        </row>
        <row r="41">
          <cell r="I41">
            <v>36256</v>
          </cell>
          <cell r="J41" t="str">
            <v>SECURITY EXPENSES</v>
          </cell>
        </row>
        <row r="42">
          <cell r="I42">
            <v>26402.07</v>
          </cell>
          <cell r="J42" t="str">
            <v>TELEPHONE &amp; MOBILE CHARGES</v>
          </cell>
        </row>
        <row r="43">
          <cell r="I43">
            <v>90</v>
          </cell>
          <cell r="J43" t="str">
            <v>MARKETING EXPENSES</v>
          </cell>
        </row>
        <row r="44">
          <cell r="I44">
            <v>3093</v>
          </cell>
          <cell r="J44" t="str">
            <v>TRAVELLING &amp; ACCOMODATION EXPENSES</v>
          </cell>
        </row>
        <row r="45">
          <cell r="I45">
            <v>17475</v>
          </cell>
          <cell r="J45" t="str">
            <v>VEHICLE EXPENSES</v>
          </cell>
        </row>
        <row r="46">
          <cell r="I46">
            <v>765959.23000000021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BScheduleWise.rpt"/>
    </sheetNames>
    <sheetDataSet>
      <sheetData sheetId="0">
        <row r="11">
          <cell r="F11">
            <v>-37028</v>
          </cell>
          <cell r="G11" t="str">
            <v>PARCEL CHARGE</v>
          </cell>
        </row>
        <row r="12">
          <cell r="F12">
            <v>-209.7</v>
          </cell>
          <cell r="G12" t="str">
            <v>PARCEL CHARGE (TAX COLLECTED)</v>
          </cell>
        </row>
        <row r="13">
          <cell r="F13">
            <v>-9297</v>
          </cell>
          <cell r="G13" t="str">
            <v>SCRAP SALE</v>
          </cell>
        </row>
        <row r="14">
          <cell r="F14">
            <v>-25874.49</v>
          </cell>
          <cell r="G14" t="str">
            <v>AERATED SOFTDRINKS SALES</v>
          </cell>
        </row>
        <row r="15">
          <cell r="F15">
            <v>-641750.80000000005</v>
          </cell>
          <cell r="G15" t="str">
            <v>BAKERY SALES</v>
          </cell>
        </row>
        <row r="16">
          <cell r="F16">
            <v>-155819.5</v>
          </cell>
          <cell r="G16" t="str">
            <v>BANQUET FUNCTION SALES</v>
          </cell>
        </row>
        <row r="17">
          <cell r="F17">
            <v>-1598983.5</v>
          </cell>
          <cell r="G17" t="str">
            <v>COFFEEBERRY SALES</v>
          </cell>
        </row>
        <row r="18">
          <cell r="F18">
            <v>-491150.79</v>
          </cell>
          <cell r="G18" t="str">
            <v>FEED REVENUE FROM IP SERVICES</v>
          </cell>
        </row>
        <row r="19">
          <cell r="F19">
            <v>-6144088.6399999997</v>
          </cell>
          <cell r="G19" t="str">
            <v>GOURMET RESTAURANT SALES</v>
          </cell>
        </row>
        <row r="20">
          <cell r="F20">
            <v>-3732679.21</v>
          </cell>
          <cell r="G20" t="str">
            <v>IP SALES - BYSTANDERS FOOD</v>
          </cell>
        </row>
        <row r="21">
          <cell r="F21">
            <v>-362863</v>
          </cell>
          <cell r="G21" t="str">
            <v>IP SALES - PATIENT SERVICE CHARGES</v>
          </cell>
        </row>
        <row r="22">
          <cell r="F22">
            <v>-2813626</v>
          </cell>
          <cell r="G22" t="str">
            <v>IP SALES - PATIENTS FOOD</v>
          </cell>
        </row>
        <row r="23">
          <cell r="F23">
            <v>-2801.3</v>
          </cell>
          <cell r="G23" t="str">
            <v>MRP SALES @0%</v>
          </cell>
        </row>
        <row r="24">
          <cell r="F24">
            <v>-38.08</v>
          </cell>
          <cell r="G24" t="str">
            <v>MRP SALES @12%</v>
          </cell>
        </row>
        <row r="25">
          <cell r="F25">
            <v>-7188.87</v>
          </cell>
          <cell r="G25" t="str">
            <v>MRP SALES @18%</v>
          </cell>
        </row>
        <row r="26">
          <cell r="F26">
            <v>-349879.14</v>
          </cell>
          <cell r="G26" t="str">
            <v>MRP SALES 5%</v>
          </cell>
        </row>
        <row r="27">
          <cell r="F27">
            <v>-344450.4</v>
          </cell>
          <cell r="G27" t="str">
            <v>STAFF SUBSIDIZED FOOD SALES</v>
          </cell>
        </row>
        <row r="28">
          <cell r="F28">
            <v>1168232.74</v>
          </cell>
          <cell r="G28" t="str">
            <v>PURCHASE - FRUITS &amp; VEGETABLES</v>
          </cell>
        </row>
        <row r="29">
          <cell r="F29">
            <v>291932.32</v>
          </cell>
          <cell r="G29" t="str">
            <v>PURCHASE - BEVERAGES</v>
          </cell>
        </row>
        <row r="30">
          <cell r="F30">
            <v>1766622.9</v>
          </cell>
          <cell r="G30" t="str">
            <v>PURCHASE - FISH,MEAT &amp; EGG</v>
          </cell>
        </row>
        <row r="31">
          <cell r="F31">
            <v>1196960.6200000001</v>
          </cell>
          <cell r="G31" t="str">
            <v>PURCHASE - FUEL</v>
          </cell>
        </row>
        <row r="32">
          <cell r="F32">
            <v>1162636.77</v>
          </cell>
          <cell r="G32" t="str">
            <v>PURCHASE - MILK,CURD &amp; BUTTER MILK</v>
          </cell>
        </row>
        <row r="33">
          <cell r="F33">
            <v>124006.39</v>
          </cell>
          <cell r="G33" t="str">
            <v>PURCHASE - MRP COFEE SHOP ITEMS</v>
          </cell>
        </row>
        <row r="34">
          <cell r="F34">
            <v>3367684.82</v>
          </cell>
          <cell r="G34" t="str">
            <v>PURCHASE - PROVISIONS &amp; STORES</v>
          </cell>
        </row>
        <row r="35">
          <cell r="F35">
            <v>2.42</v>
          </cell>
          <cell r="G35" t="str">
            <v>TRANSPORT &amp; COOLIE</v>
          </cell>
        </row>
        <row r="36">
          <cell r="F36">
            <v>1887829</v>
          </cell>
          <cell r="G36" t="str">
            <v>SALARIES,WAGES,BONUS ETC.</v>
          </cell>
        </row>
        <row r="37">
          <cell r="F37">
            <v>108560</v>
          </cell>
          <cell r="G37" t="str">
            <v>STAFF ACCOMODATION &amp; ELECTRICITY CHARGES</v>
          </cell>
        </row>
        <row r="38">
          <cell r="F38">
            <v>24759</v>
          </cell>
          <cell r="G38" t="str">
            <v>STAFF UNIFORM EXPENSE</v>
          </cell>
        </row>
        <row r="39">
          <cell r="F39">
            <v>932840.44</v>
          </cell>
          <cell r="G39" t="str">
            <v>PURCHASE - SUNDRY GOODS</v>
          </cell>
        </row>
        <row r="40">
          <cell r="F40">
            <v>15946</v>
          </cell>
          <cell r="G40" t="str">
            <v>LAUNDRY EXPENSE</v>
          </cell>
        </row>
        <row r="41">
          <cell r="F41">
            <v>178190.78</v>
          </cell>
          <cell r="G41" t="str">
            <v>PURCHASE - HOUSEKEEPING MATERIALS &amp; OTHERS</v>
          </cell>
        </row>
        <row r="42">
          <cell r="F42">
            <v>44326.58</v>
          </cell>
          <cell r="G42" t="str">
            <v>PURCHASE - BLOCK STOCK</v>
          </cell>
        </row>
        <row r="43">
          <cell r="F43">
            <v>9501.36</v>
          </cell>
          <cell r="G43" t="str">
            <v>PURCHASE - CROCKERY &amp; CUTLERY</v>
          </cell>
        </row>
        <row r="44">
          <cell r="F44">
            <v>101160.4</v>
          </cell>
          <cell r="G44" t="str">
            <v>R&amp;M KITCHEN EQUIPMENTS</v>
          </cell>
        </row>
        <row r="45">
          <cell r="F45">
            <v>718971</v>
          </cell>
          <cell r="G45" t="str">
            <v>SANITATION EXPENSE</v>
          </cell>
        </row>
        <row r="46">
          <cell r="F46">
            <v>20967</v>
          </cell>
          <cell r="G46" t="str">
            <v>AMC SOFTWARE</v>
          </cell>
        </row>
        <row r="47">
          <cell r="F47">
            <v>-74.989999999999995</v>
          </cell>
          <cell r="G47" t="str">
            <v>RATES &amp; TAXES</v>
          </cell>
        </row>
        <row r="48">
          <cell r="F48">
            <v>-7603.03</v>
          </cell>
          <cell r="G48" t="str">
            <v>DISCOUNTS &amp; ALLOWANCES</v>
          </cell>
        </row>
        <row r="49">
          <cell r="F49">
            <v>1538</v>
          </cell>
          <cell r="G49" t="str">
            <v>CONVEYANCE EXPENSE</v>
          </cell>
        </row>
        <row r="50">
          <cell r="F50">
            <v>4000</v>
          </cell>
          <cell r="G50" t="str">
            <v>TRANSPORTATION EXPENSE</v>
          </cell>
        </row>
        <row r="51">
          <cell r="F51">
            <v>1218751</v>
          </cell>
          <cell r="G51" t="str">
            <v>TRAVELLING EXPENSE OTHERS</v>
          </cell>
        </row>
        <row r="52">
          <cell r="F52">
            <v>3540</v>
          </cell>
          <cell r="G52" t="str">
            <v>PROFESSIONAL FEE</v>
          </cell>
        </row>
        <row r="53">
          <cell r="F53">
            <v>4720</v>
          </cell>
          <cell r="G53" t="str">
            <v>FOOD TESTING CHARGES</v>
          </cell>
        </row>
        <row r="54">
          <cell r="F54">
            <v>275439</v>
          </cell>
          <cell r="G54" t="str">
            <v>DEPRECIATION</v>
          </cell>
        </row>
        <row r="55">
          <cell r="F55">
            <v>-2096287.899999999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balancePDS.rpt"/>
    </sheetNames>
    <sheetDataSet>
      <sheetData sheetId="0">
        <row r="2">
          <cell r="I2" t="str">
            <v>NET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hi P P" refreshedDate="46183.750654513889" backgroundQuery="1" createdVersion="8" refreshedVersion="8" minRefreshableVersion="3" recordCount="345" xr:uid="{939BB936-A0BE-45E5-8C11-ED4F274953D2}">
  <cacheSource type="external" connectionId="1"/>
  <cacheFields count="28">
    <cacheField name="Description" numFmtId="0">
      <sharedItems containsBlank="1" count="280">
        <s v="PHARMACY REVENUE-NON TAXABLE"/>
        <s v="PHARMACY REVENUE-TAXABLE"/>
        <s v="OTHER HEALTHCARE SERVICES-OP"/>
        <s v="LABORATORY &amp; DIAG. SERVICES-OP"/>
        <s v="GUEST LAUNDRY SERVICES-IP"/>
        <s v="LABORATORY &amp; DIAG. SERVICES-IP"/>
        <s v="OTHER HEALTHCARE SERVICES- IP"/>
        <s v="BLOOD BANK COLLECTION-OP"/>
        <s v="ASHWAS HOME CARE -OP"/>
        <s v="CASUALITY PHARMACY - OP"/>
        <s v="INCOME FROM CLINICAL STUDIES"/>
        <s v="OTHER HEALTH SERVICES AYURVEDA"/>
        <s v="INTEREST RECEIVED ON FD"/>
        <s v="DISCOUNT RECEIVED"/>
        <s v="MISCELLANEOUS INCOME"/>
        <s v="NOTICE PAY"/>
        <s v="OTHER INCOME"/>
        <s v="ROUND OFF A/C"/>
        <s v="PROFIT ON EXCHANGE FLUCTUATION"/>
        <s v="PROFIT ON SALE OF FIXED ASSETS"/>
        <s v="SALE OF SCRAP &amp; WASTE"/>
        <s v="SUPPLY OF MANPOWER"/>
        <s v="VALET PARKING INCOME"/>
        <s v="RENT RECEIVED"/>
        <s v="DNB TRAINING FEE RECEIVED"/>
        <s v="TRAINING FEE RECEIVED"/>
        <s v="ACLS/BLS COURSE FEE FROM STUDENTS"/>
        <s v="CME PROGRAME INCOME"/>
        <s v="HEALTHCARE SERVICE-CAMP"/>
        <s v="PURCHASE-MEDICAL STORE"/>
        <s v="PURCHASE-CONSUMABLE(GS)"/>
        <s v="PURCHASE-INSTRUMENTS(GS)"/>
        <s v="PURCHASE-LAB MATERIALSGS)"/>
        <s v="PURCHASE-MEDICAL GAS(GS)"/>
        <s v="PURCHASE-MEDICINES(GS)"/>
        <s v="PURCHASE-ONCOLOGY STORE"/>
        <s v="FA-FURNITURE &amp; FIXTURES (DIRECT)"/>
        <s v="COMPLEMENTRY TO EXECUTIVE CHECK UP"/>
        <s v="CONCESSION LABORATORY &amp; DIAG. SERVICES-IP"/>
        <s v="CONCESSION LABORATORY &amp; DIAG. SERVICES-OP"/>
        <s v="CONCESSION OTHER HEALTHCARE SERVICES - IP"/>
        <s v="CONCESSION VPS GOURMET FOOD COLLECTION"/>
        <s v="CONCESSION-IP BILLING"/>
        <s v="CONCESSION-OP CONSULTATION"/>
        <s v="CONCESSION-OTHER HEALTHCARE SERVICES-OP"/>
        <s v="CONCESSION-PHARMACY NONTAXABLE"/>
        <s v="CONCESSION-PHARMACY TAXABLE"/>
        <s v="CREDIT DISCOUNT A/C - ON LINE"/>
        <s v="CREDIT DISPUTE A/C - ON LINE"/>
        <s v="IP EXTRA DISCOUNT ACCOUNT"/>
        <s v="OP CREDIT A/C - ON LINE"/>
        <s v="PURCHASE-ASSETS(GS)"/>
        <s v="REMUNERATION TO MD"/>
        <s v="SALARY TO DOCTORS"/>
        <s v="EXGRATIA"/>
        <s v="FOOD RECOVERY"/>
        <s v="SALARIES &amp; ALLOWANCES"/>
        <s v="DNB TRAINING FEE"/>
        <s v="TRAINING FEE"/>
        <s v="ESI EMPLYERS SHARE"/>
        <s v="PF ADMIN CHARGES"/>
        <s v="PF EMPLOYERS SHARE"/>
        <s v="DNB EXAM EXPENSES"/>
        <s v="MEDICAL EXPENSES STAFF"/>
        <s v="NURSES DAY"/>
        <s v="STAFF WELFARE EXPENSES"/>
        <s v="BANK CHARGE- CARD SWIPING"/>
        <s v="BANK CHARGES"/>
        <s v="BANK CHARGES - BUYERS CREDIT"/>
        <s v="FUEL CHARGES"/>
        <s v="WATER ANALYSIS CHARGES"/>
        <s v="WATER CHARGES"/>
        <s v="ELECTRICITY CHARGES"/>
        <s v="ELECTRICITY CHARGES-POWER SAVING SHARE"/>
        <s v="SITTING FEE PAID"/>
        <s v="CONSULTATION &amp; PROF. FEE DOCTORS"/>
        <s v="CONSULTATION&amp; PROF.FEE LHRC SHARE"/>
        <s v="CONSULTATION &amp; PROF.FEE VISIT DOCS"/>
        <s v="HOUSE KEEPING EXPENSES"/>
        <s v="LAUNDRY EXPENSES"/>
        <s v="WASTE REMOVAL"/>
        <s v="LAB TEST CHARGES PAID"/>
        <s v="BED CHARGES"/>
        <s v="EQUIPMENT RENT"/>
        <s v="RENT PAID"/>
        <s v="CIVIL MAINT. MATERIALS EXPENSES"/>
        <s v="REPAIRS TO BUILDING"/>
        <s v="REPAIRS TO BUILDING(NEW)"/>
        <s v="REPAIRS TO BUILDING(OLD)"/>
        <s v="AMC/CMC CHARGES"/>
        <s v="REPAIRS TO MACHINERY"/>
        <s v="REPAIRS TO EQUIPMENTS"/>
        <s v="REPAIRS TO MEDICAL EQUIPMENTS"/>
        <s v="REPAIRS - COMPUTER"/>
        <s v="REPAIRS - ELECTRICAL"/>
        <s v="REPAIRS - FURNITURE &amp; FIXTURES"/>
        <s v="REPAIRS - VEHICLES"/>
        <s v="REPAIRS &amp; MAINTENANCE"/>
        <s v="REPAIRS &amp; MAINTENANCE(OTHERS)"/>
        <s v="SOFTWARE MAINTENANCE EXPENSES"/>
        <s v="INSURANCE FOR BUILDING"/>
        <s v="INSURANCE FOR LIFT"/>
        <s v="INSURANCE FOR OTHERS"/>
        <s v="INSURANCE VEHICLES"/>
        <s v="FILING FEE"/>
        <s v="LICENSE FEE PAID"/>
        <s v="RATES &amp; TAXES A/C"/>
        <s v="AUDIT FEE A/C"/>
        <s v="INTERNAL AUDIT FEE"/>
        <s v="CME PROGRAMME - ENT"/>
        <s v="CME PROGRAMME HEAD &amp; NECK"/>
        <s v="ETHICS COMMITTEE MEETING EXPENSE/INCOME"/>
        <s v="LOSS ON SALE OF ASSETS"/>
        <s v="ACCREDITATION MID CYCLE REVIEW FEES"/>
        <s v="BOOKS &amp; PERIODICALS"/>
        <s v="BUSINESS RELATIONS EXPENSES"/>
        <s v="CALIBRATION CHARGES"/>
        <s v="DISCOUNT TO PATIENTS-ECHS"/>
        <s v="MISCELLANEOUS EXPENSES"/>
        <s v="QUALITY ASSURANCE EXPENSE"/>
        <s v="ROUND OFF"/>
        <s v="STAFF HIRING CHARGES"/>
        <s v="SUBSCRIPTION TO TV"/>
        <s v="SUBSCRIPTIONS &amp; PERIODICALS"/>
        <s v="PRINTING &amp; STATIONERY"/>
        <s v="ADVERTISEMENT CHARGES"/>
        <s v="INCENTIVE - DNB SUPERVISION"/>
        <s v="INCENTIVE - HISTOPATHOLOGY"/>
        <s v="INCENTIVE - MARKETING"/>
        <s v="INCENTIVE - MEDICAL ONCOLOGY"/>
        <s v="INCENTIVE - PHYSIOTHERAPY"/>
        <s v="INCENTIVE - SURGICAL ONCOLOGY"/>
        <s v="INCENTIVE TO PERFUSIONISTS"/>
        <s v="RECRUITMENT EXPENSES"/>
        <s v="DONATION"/>
        <s v="INTEREST ON GST"/>
        <s v="INTEREST ON TDS PAYMENT"/>
        <s v="OFFICE EXPENSES"/>
        <s v="PENALTY"/>
        <s v="POOJA EXPENSES"/>
        <s v="POSTAGE &amp; COURIER CHARGES"/>
        <s v="ADVOCATE FEES"/>
        <s v="LEGAL &amp; PROFESSIONAL EXPENSES"/>
        <s v="NABH/ISO AUDIT EXPENSES"/>
        <s v="NABL ACCREDITION EXPENSES"/>
        <s v="PATIENT PREPARATION CHARGES"/>
        <s v="PROFESSIONAL CHARGES"/>
        <s v="CME EXPENSES-MARKETING"/>
        <s v="CSR ACTIVITIES"/>
        <s v="PROMOTIONAL EXPENDITURE"/>
        <s v="VOICE CAMP- 2024"/>
        <s v="SECURITY EXPENSES"/>
        <s v="TELEPHONE &amp; MOBILE CHARGES"/>
        <s v="FASTAG RECHARGE"/>
        <s v="MARKETING EXPENSES"/>
        <s v="TRANSPORTATION CHARGES"/>
        <s v="TRAVELLING &amp; ACCOMODATION EXPENSES"/>
        <s v="TRAVELLING &amp; ACCOMODATION EXPENSES- MARKETING"/>
        <s v="VEHICLE EXPENSES"/>
        <s v="ACLS &amp; BLS EXPENSES"/>
        <s v="KOZHIKODE RENT PAID"/>
        <s v="INTEREST PAID"/>
        <s v="COSMETIC SURGERY COLLECTION-IP"/>
        <s v="ROOM RENT TAXABLE"/>
        <s v="CONSUMABLES &amp; ACCESSORIES"/>
        <s v="SPONSERSHIP EXPENSES"/>
        <s v="PURCHASE-CONSIGNMENT STORE"/>
        <s v="OUTSOURSED SERVICES"/>
        <s v="IP BILLING COLLECTION"/>
        <s v="INTEREST RECEIVED"/>
        <s v="INCOME FROM GOVERNMENT GRANT"/>
        <s v="GRATUITY"/>
        <s v="LEAVE ENCASHMENT"/>
        <s v="BONUS"/>
        <s v="INTEREST ON DELAYED PAYMENTS TO MSME"/>
        <s v="BUILDING TAX PAID"/>
        <s v="PRIOR PERIOD TAX EXPENSES"/>
        <s v="INTEREST OTHERS"/>
        <s v="AMORTISATION"/>
        <s v="DEPRECIATION"/>
        <s v="DEPRECIATION (GOVERNMENT GRANT EPCG)"/>
        <s v="IMPAIRMENT IN VALUE OF INVESTMENTS ( EXPENSE )"/>
        <s v="DOUBTFUL DEBTS A/C"/>
        <s v="GRATUTITY - OCI"/>
        <s v="CIVIL MAINTENANCE MATERIAL EXPENSE (DIRECT)"/>
        <s v="CHEMICALS RO PLANT /WTP"/>
        <s v="LOSS ON EXCHANGE FLUCTUATION"/>
        <s v="EM(MEM) TRAINING FEE RECEIVED"/>
        <s v="CONCESSION - AYURVEDA"/>
        <s v="ONAM EXPENSES"/>
        <s v="PURCHASE-CHEMICALS(GS)"/>
        <s v="NABH ACCREDITATION ANUAL FEE"/>
        <s v="TRAINING EXPENSES (LA)"/>
        <s v="INTEREST RECEIVED ON KSEB"/>
        <s v="GST LATE FEE"/>
        <s v="VAT PAYABLE FY 2016-17"/>
        <s v="PURCHASE-MEDICAL CONSUMABLE(GS)"/>
        <s v="INTEREST ON TERM LOAN"/>
        <s v="KOZHIKODE TRAVELLING EXPENSES"/>
        <s v="AGOI FELLOWSHIP FEE"/>
        <s v="Lease Rent GST"/>
        <s v="Electricty FNB"/>
        <s v="WATER CHARGES FNB"/>
        <s v="Provision for Unspent CSR"/>
        <s v="Provision For Gratuity"/>
        <s v="Opening Stock"/>
        <s v="Closing Stock"/>
        <s v="LAB OUSOURCING INCOME"/>
        <s v="CREDIT DISCOUNT A/C - ONLINE"/>
        <s v="PURCHASE ASSETS CALICUT STORE"/>
        <s v="KOZHIKODE OTHER EXPENSES"/>
        <s v="PROFESSIONAL TAX PAID"/>
        <s v="Lease Rent"/>
        <s v="PARCEL CHARGE"/>
        <s v="PARCEL CHARGE (TAX COLLECTED)"/>
        <s v="OTHER EXCESS"/>
        <s v="SCRAP SALE"/>
        <s v="TRANSPORTATION INCOME"/>
        <s v="AERATED SOFTDRINKS SALES (CESS)"/>
        <s v="BAKERY SALES"/>
        <s v="BANQUET FUNCTION SALES"/>
        <s v="COFFEEBERRY SALES"/>
        <s v="FEED REVENUE FROM IP SERVICES"/>
        <s v="GOURMET RESTAURANT SALES"/>
        <s v="IP SALES - BYSTANDERS FOOD"/>
        <s v="IP SALES - PATIENT SERVICE CHARGES"/>
        <s v="IP SALES - PATIENTS FOOD"/>
        <s v="MRP SALES @0%"/>
        <s v="MRP SALES @12%"/>
        <s v="MRP SALES @18%"/>
        <s v="MRP SALES 5%"/>
        <s v="STAFF SUBSIDIZED FOOD SALES"/>
        <s v="CALICUT - COFEEBERRY SALES"/>
        <s v="PURCHASE - FRUITS &amp; VEGETABLES"/>
        <s v="PURCHASE - BEVERAGES"/>
        <s v="PURCHASE - FISH,MEAT &amp; EGG"/>
        <s v="PURCHASE - FUEL"/>
        <s v="PURCHASE - MILK,CURD &amp; BUTTER MILK"/>
        <s v="PURCHASE - MRP COFEE SHOP ITEMS"/>
        <s v="PURCHASE - PROVISIONS &amp; STORES"/>
        <s v="TRANSPORT &amp; COOLIE"/>
        <s v="SALARIES,WAGES,BONUS ETC."/>
        <s v="STAFF ACCOMODATION &amp; ELECTRICITY CHARGES"/>
        <s v="STAFF ACCOMODATION WATER CHARGES"/>
        <s v="STAFF UNIFORM EXPENSE"/>
        <s v="PURCHASE - SUNDRY GOODS"/>
        <s v="LAUNDRY EXPENSE"/>
        <s v="PURCHASE - HOUSEKEEPING MATERIALS &amp; OTHERS"/>
        <s v="PURCHASE - BLOCK STOCK"/>
        <s v="PURCHASE - CROCKERY &amp; CUTLERY"/>
        <s v="R&amp;M KITCHEN EQUIPMENTS"/>
        <s v="SANITATION EXPENSE"/>
        <s v="AMC SOFTWARE"/>
        <s v="RATES &amp; TAXES"/>
        <s v="DISCOUNTS &amp; ALLOWANCES"/>
        <s v="CONVEYANCE EXPENSE"/>
        <s v="TRAVELLING EXPENSE OTHERS"/>
        <s v="CREDIT CARD COMMISSION"/>
        <s v="MRP SALES @ 28"/>
        <s v="PURCHASE - CAKE MIXING ITEMS"/>
        <s v="PROFESSIONAL FEE"/>
        <s v="FOOD TESTING CHARGES"/>
        <s v="X MAS CAKE SALE"/>
        <s v="PURCHASE - ASSETS"/>
        <s v="RENT OF EQUIPMENTS AND MACHINERY"/>
        <s v="R&amp;M OTHERS"/>
        <s v="TRANSPORTATION EXPENSE"/>
        <s v="OTHER EXPENSE"/>
        <s v="LABOUR CHARGES"/>
        <s v="EXCESS CASH RECEIVED"/>
        <s v="AERATED SOFTDRINKS SALES"/>
        <s v="AMC KITCHEN EQUIPMENTS"/>
        <s v="SERVICE CHARGES FOR R&amp;M"/>
        <s v="Electrity Charge "/>
        <s v="Water Charge"/>
        <s v="CURRENT TAX" u="1"/>
        <s v="DEFERRED TAX" u="1"/>
        <s v="VPS GOURMET FOOD COLLECTION" u="1"/>
        <m u="1"/>
        <s v="&gt;&gt;&gt;&gt;&gt;" u="1"/>
      </sharedItems>
    </cacheField>
    <cacheField name="FS" numFmtId="0">
      <sharedItems containsBlank="1" count="4">
        <s v="PL"/>
        <m/>
        <s v="Int.Co."/>
        <s v="Off TB"/>
      </sharedItems>
    </cacheField>
    <cacheField name="FS2" numFmtId="0">
      <sharedItems containsBlank="1" count="3">
        <s v="I"/>
        <s v="E"/>
        <m/>
      </sharedItems>
    </cacheField>
    <cacheField name="Group_1" numFmtId="0">
      <sharedItems containsBlank="1" count="6">
        <s v="REVENUE FROM OPERATIONS"/>
        <s v="OTHER INCOME"/>
        <s v="OPERATING EXPENSES"/>
        <m/>
        <s v="INCOME"/>
        <s v="EXPENSE"/>
      </sharedItems>
    </cacheField>
    <cacheField name="Group_2" numFmtId="0">
      <sharedItems containsBlank="1" count="19">
        <s v="REVENUE FROM SALE OF SERVICES"/>
        <s v="OTHER OPERATING INCOME"/>
        <s v="AYURVEDA INCOME"/>
        <s v="INTEREST RECCEIVED"/>
        <s v="MISCELLANEOUS RECEIPTS"/>
        <s v="OTHER NON OPERATING INCOME"/>
        <s v="RENTAL INCOME"/>
        <s v="TRAINING FEES"/>
        <s v="LAKESHORE ACCADEMY"/>
        <s v="PURCHASE OF MEDICINES &amp; CONSUMABLES"/>
        <s v="CONCESSION &amp; FREE"/>
        <s v="PURCHASES-ASSETS (STORE)"/>
        <s v="EMPLOYEE BENEFITS EXPENSE"/>
        <s v="FINANCE COSTS"/>
        <s v="OTHER EXPENSES"/>
        <m/>
        <s v="FELLOWSHIP FEE"/>
        <s v="REVENUE FROM OPERATIONS"/>
        <s v="P AND L EXPENSE"/>
      </sharedItems>
    </cacheField>
    <cacheField name="Group_3" numFmtId="0">
      <sharedItems containsBlank="1"/>
    </cacheField>
    <cacheField name="Group_4" numFmtId="0">
      <sharedItems containsBlank="1"/>
    </cacheField>
    <cacheField name="Unit" numFmtId="0">
      <sharedItems count="3">
        <s v="Kochi"/>
        <s v="Calicut"/>
        <s v="FNB"/>
      </sharedItems>
    </cacheField>
    <cacheField name="MIS_Group1" numFmtId="0">
      <sharedItems containsBlank="1" count="33">
        <s v="IP Pharmacy"/>
        <s v="OP Pharmacy"/>
        <s v="OP Revenue"/>
        <s v="IP Revenue"/>
        <s v="OTHER INCOME"/>
        <s v="Aurveda"/>
        <s v="Material Cost"/>
        <s v="Miscellaneous expenses"/>
        <s v="Employee Cost"/>
        <s v="Doctor Cost"/>
        <s v="Finance Cost"/>
        <s v="Utilities-Power, fuel &amp; water charges"/>
        <s v="Professional Fee"/>
        <s v="House Keeping Expenses"/>
        <s v="Lab Test Charges"/>
        <s v="Rent Paid"/>
        <s v="Repair &amp; Maintenance"/>
        <s v="Insurance"/>
        <s v="Rates &amp; taxes"/>
        <s v="Quality &amp; Infection control expense"/>
        <s v="Provission for Bad Debts"/>
        <s v="PRINTING &amp; STATIONERY"/>
        <s v="Marketing Cost"/>
        <s v="Communication Costs"/>
        <s v="CSR Activity"/>
        <s v="Security Expenses"/>
        <s v="Business Travel Cost"/>
        <s v="Depreciation"/>
        <s v="F &amp; B Revenue"/>
        <s v="Tax" u="1"/>
        <s v="Clinical Studies" u="1"/>
        <m u="1"/>
        <s v="&gt;&gt;&gt;&gt;&gt;&gt;" u="1"/>
      </sharedItems>
    </cacheField>
    <cacheField name="MIS_Group2" numFmtId="0">
      <sharedItems containsBlank="1"/>
    </cacheField>
    <cacheField name="Notes" numFmtId="0">
      <sharedItems containsSemiMixedTypes="0" containsString="0" containsNumber="1" containsInteger="1" minValue="0" maxValue="31" count="32">
        <n v="2"/>
        <n v="4"/>
        <n v="3"/>
        <n v="1"/>
        <n v="7"/>
        <n v="5"/>
        <n v="8"/>
        <n v="26"/>
        <n v="10"/>
        <n v="9"/>
        <n v="29"/>
        <n v="11"/>
        <n v="21"/>
        <n v="16"/>
        <n v="14"/>
        <n v="15"/>
        <n v="12"/>
        <n v="19"/>
        <n v="20"/>
        <n v="22"/>
        <n v="23"/>
        <n v="18"/>
        <n v="13"/>
        <n v="24"/>
        <n v="27"/>
        <n v="17"/>
        <n v="25"/>
        <n v="28"/>
        <n v="6"/>
        <n v="0" u="1"/>
        <n v="30" u="1"/>
        <n v="31" u="1"/>
      </sharedItems>
    </cacheField>
    <cacheField name="Apr" numFmtId="0">
      <sharedItems containsString="0" containsBlank="1" containsNumber="1" minValue="-1085.3805" maxValue="836.322"/>
    </cacheField>
    <cacheField name="May" numFmtId="0">
      <sharedItems containsString="0" containsBlank="1" containsNumber="1" minValue="-1182.9088019000001" maxValue="994.69312155600005"/>
    </cacheField>
    <cacheField name="Jun" numFmtId="0">
      <sharedItems containsString="0" containsBlank="1" containsNumber="1" minValue="-1063.615311025" maxValue="1059.0353902649999"/>
    </cacheField>
    <cacheField name="Jul" numFmtId="0">
      <sharedItems containsString="0" containsBlank="1" containsNumber="1" minValue="-1210.6613471999999" maxValue="1063.615311025"/>
    </cacheField>
    <cacheField name="Aug" numFmtId="0">
      <sharedItems containsString="0" containsBlank="1" containsNumber="1" minValue="-1317.0464345" maxValue="1044.18838218"/>
    </cacheField>
    <cacheField name="Sep" numFmtId="0">
      <sharedItems containsString="0" containsBlank="1" containsNumber="1" minValue="-1255.2707408000001" maxValue="1048.41872962"/>
    </cacheField>
    <cacheField name="Oct" numFmtId="0">
      <sharedItems containsString="0" containsBlank="1" containsNumber="1" minValue="-1277.3917002000001" maxValue="1021.46646714"/>
    </cacheField>
    <cacheField name="Nov" numFmtId="0">
      <sharedItems containsString="0" containsBlank="1" containsNumber="1" minValue="-1135.6410782" maxValue="1017.92690383"/>
    </cacheField>
    <cacheField name="Dec" numFmtId="0">
      <sharedItems containsString="0" containsBlank="1" containsNumber="1" minValue="-1221.7242859999999" maxValue="958.39613399999996"/>
    </cacheField>
    <cacheField name="Jan" numFmtId="0">
      <sharedItems containsString="0" containsBlank="1" containsNumber="1" minValue="-1410.2464924999999" maxValue="967.28656755999998"/>
    </cacheField>
    <cacheField name="Feb" numFmtId="0">
      <sharedItems containsString="0" containsBlank="1" containsNumber="1" minValue="-1266.3242230000001" maxValue="1006.6360128699999"/>
    </cacheField>
    <cacheField name="Mar" numFmtId="0">
      <sharedItems containsString="0" containsBlank="1" containsNumber="1" minValue="-1188.0634175" maxValue="975.65031110999996"/>
    </cacheField>
    <cacheField name="YTD" numFmtId="0">
      <sharedItems containsSemiMixedTypes="0" containsString="0" containsNumber="1" minValue="-14569.5045636" maxValue="5835.4599639999997"/>
    </cacheField>
    <cacheField name="YTD TB" numFmtId="0">
      <sharedItems containsString="0" containsBlank="1" containsNumber="1" minValue="-1456950456.3599999" maxValue="583545996.39999998"/>
    </cacheField>
    <cacheField name="Apr_26" numFmtId="0">
      <sharedItems containsString="0" containsBlank="1" containsNumber="1" minValue="-1412.3968408000001" maxValue="999.71077060000005"/>
    </cacheField>
    <cacheField name="May-26" numFmtId="0">
      <sharedItems containsSemiMixedTypes="0" containsString="0" containsNumber="1" minValue="-144043409.90000001" maxValue="99807032.421000004"/>
    </cacheField>
    <cacheField name="Remarks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x v="0"/>
    <x v="0"/>
    <x v="0"/>
    <x v="0"/>
    <s v="PHARMACY COLLECTION"/>
    <s v="PHARMACY REVENUE"/>
    <x v="0"/>
    <x v="0"/>
    <s v="IP Pharmacy"/>
    <x v="0"/>
    <n v="-961.84010000000001"/>
    <n v="-1131.8629880000001"/>
    <n v="-1019.8477626"/>
    <n v="-1210.6613471999999"/>
    <n v="-1170.3613155"/>
    <n v="-1233.1792459000001"/>
    <n v="-1161.5853001"/>
    <n v="-1016.0522285"/>
    <n v="-1099.6599236"/>
    <n v="-1265.6098881999999"/>
    <n v="-1140.6737886999999"/>
    <n v="-1187.545858"/>
    <n v="-13598.8797942"/>
    <n v="-1359887979.4200001"/>
    <n v="-1368.8540906000001"/>
    <n v="-142126544.43000001"/>
    <x v="0"/>
  </r>
  <r>
    <x v="1"/>
    <x v="0"/>
    <x v="0"/>
    <x v="0"/>
    <x v="0"/>
    <s v="PHARMACY COLLECTION"/>
    <s v="PHARMACY REVENUE"/>
    <x v="0"/>
    <x v="1"/>
    <s v="OP Pharmacy"/>
    <x v="1"/>
    <n v="-319.09930000000003"/>
    <n v="-344.37129750000003"/>
    <n v="-296.7113094"/>
    <n v="-345.85091920000002"/>
    <n v="-383.7702415"/>
    <n v="-339.6504463"/>
    <n v="-343.97601739999999"/>
    <n v="-304.2059562"/>
    <n v="-334.54759259999997"/>
    <n v="-369.4036423"/>
    <n v="-328.76717710000003"/>
    <n v="-343.27529190000001"/>
    <n v="-4053.6291824999998"/>
    <n v="-405362918.25"/>
    <n v="-343.58329500000002"/>
    <n v="-34446518.019999996"/>
    <x v="0"/>
  </r>
  <r>
    <x v="2"/>
    <x v="0"/>
    <x v="0"/>
    <x v="0"/>
    <x v="0"/>
    <s v="OTHER HEALTHCARE SERVICES"/>
    <s v="CONSULTATION INCOME"/>
    <x v="0"/>
    <x v="2"/>
    <s v="OP Revenue"/>
    <x v="2"/>
    <n v="-271.8546"/>
    <n v="-298.81466870000003"/>
    <n v="-268.14416779999999"/>
    <n v="-315.57194529999998"/>
    <n v="-315.5423806"/>
    <n v="-296.40444159999998"/>
    <n v="-305.36847139999998"/>
    <n v="-271.73010249999999"/>
    <n v="-276.57095479999998"/>
    <n v="-301.56513180000002"/>
    <n v="-300.49359490000001"/>
    <n v="-262.15214830000002"/>
    <n v="-3484.2126297999998"/>
    <n v="-348421262.98000002"/>
    <n v="-271.83440350000001"/>
    <n v="-29143684.050000001"/>
    <x v="0"/>
  </r>
  <r>
    <x v="3"/>
    <x v="0"/>
    <x v="0"/>
    <x v="0"/>
    <x v="0"/>
    <s v="OTHER HEALTHCARE SERVICES"/>
    <s v="OP COLLECTION"/>
    <x v="0"/>
    <x v="2"/>
    <s v="OP Revenue"/>
    <x v="2"/>
    <n v="-378.851"/>
    <n v="-374.94900849999999"/>
    <n v="-357.6666831"/>
    <n v="-444.87412719999998"/>
    <n v="-414.76566070000001"/>
    <n v="-413.90493120000002"/>
    <n v="-400.16350460000001"/>
    <n v="-366.11558650000001"/>
    <n v="-388.01140600000002"/>
    <n v="-452.42462230000001"/>
    <n v="-377.87988189999999"/>
    <n v="-369.91296690000001"/>
    <n v="-4739.5193736000001"/>
    <n v="-473951937.36000001"/>
    <n v="-368.7278278"/>
    <n v="-39699984.469999999"/>
    <x v="0"/>
  </r>
  <r>
    <x v="4"/>
    <x v="0"/>
    <x v="0"/>
    <x v="0"/>
    <x v="0"/>
    <s v="OTHER HEALTHCARE SERVICES"/>
    <s v="IP BILLING COLLECTION"/>
    <x v="0"/>
    <x v="3"/>
    <s v="IP Revenue"/>
    <x v="3"/>
    <n v="-0.58679999999999999"/>
    <n v="-0.73310160000000002"/>
    <n v="-0.70221199999999995"/>
    <n v="-0.89383000000000001"/>
    <n v="-0.96011000000000002"/>
    <n v="-0.88389830000000003"/>
    <n v="-0.87687289999999996"/>
    <n v="-0.86790679999999998"/>
    <n v="-0.90235589999999999"/>
    <n v="-0.79527119999999996"/>
    <n v="-0.86283049999999994"/>
    <n v="-0.66345759999999998"/>
    <n v="-9.7286167999999993"/>
    <n v="-972861.68"/>
    <n v="-0.89511859999999999"/>
    <n v="-85205.08"/>
    <x v="0"/>
  </r>
  <r>
    <x v="5"/>
    <x v="0"/>
    <x v="0"/>
    <x v="0"/>
    <x v="0"/>
    <s v="OTHER HEALTHCARE SERVICES"/>
    <s v="IP BILLING COLLECTION"/>
    <x v="0"/>
    <x v="3"/>
    <s v="IP Revenue"/>
    <x v="3"/>
    <n v="-272.58159999999998"/>
    <n v="-304.06887499999999"/>
    <n v="-268.15632499999998"/>
    <n v="-318.69736"/>
    <n v="-343.50790999999998"/>
    <n v="-329.81903"/>
    <n v="-349.32143000000002"/>
    <n v="-325.06218999999999"/>
    <n v="-349.45197000000002"/>
    <n v="-392.45925999999997"/>
    <n v="-375.02445"/>
    <n v="-337.64713"/>
    <n v="-3965.7975700000002"/>
    <n v="-396579757"/>
    <n v="-397.53293000000002"/>
    <n v="-42847739"/>
    <x v="0"/>
  </r>
  <r>
    <x v="6"/>
    <x v="0"/>
    <x v="0"/>
    <x v="0"/>
    <x v="0"/>
    <s v="OTHER HEALTHCARE SERVICES"/>
    <s v="IP BILLING COLLECTION"/>
    <x v="0"/>
    <x v="3"/>
    <s v="IP Revenue"/>
    <x v="3"/>
    <n v="-1085.3805"/>
    <n v="-1182.9088019000001"/>
    <n v="-1022.3475892"/>
    <n v="-1207.1593281999999"/>
    <n v="-1317.0464345"/>
    <n v="-1255.2707408000001"/>
    <n v="-1277.3917002000001"/>
    <n v="-1135.6410782"/>
    <n v="-1221.7242859999999"/>
    <n v="-1410.2464924999999"/>
    <n v="-1266.3242230000001"/>
    <n v="-1188.0634175"/>
    <n v="-14569.5045636"/>
    <n v="-1456950456.3599999"/>
    <n v="-1412.3968408000001"/>
    <n v="-144043409.90000001"/>
    <x v="0"/>
  </r>
  <r>
    <x v="7"/>
    <x v="0"/>
    <x v="0"/>
    <x v="0"/>
    <x v="0"/>
    <s v="OTHER HEALTHCARE SERVICES"/>
    <s v="BLOOD BANK COLLECTION"/>
    <x v="0"/>
    <x v="2"/>
    <s v="OP Revenue"/>
    <x v="2"/>
    <n v="0"/>
    <n v="-2.471657"/>
    <n v="0"/>
    <n v="0"/>
    <n v="0"/>
    <n v="-3.2784080000000002"/>
    <n v="0"/>
    <n v="-7.4085200000000002"/>
    <n v="0"/>
    <n v="-4.7986399999999998"/>
    <n v="0"/>
    <n v="0"/>
    <n v="-17.957225000000001"/>
    <n v="-1795722.5"/>
    <n v="0"/>
    <n v="-703796.8"/>
    <x v="0"/>
  </r>
  <r>
    <x v="8"/>
    <x v="0"/>
    <x v="0"/>
    <x v="0"/>
    <x v="0"/>
    <s v="PHARMACY COLLECTION-OP"/>
    <s v="PHARMACY COLLECTION-OP"/>
    <x v="0"/>
    <x v="2"/>
    <s v="OP Revenue"/>
    <x v="2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"/>
    <x v="0"/>
    <x v="0"/>
    <x v="0"/>
    <x v="0"/>
    <s v="PHARMACY COLLECTION-OP"/>
    <s v="PHARMACY COLLECTION-OP"/>
    <x v="0"/>
    <x v="1"/>
    <s v="OP Pharmacy"/>
    <x v="1"/>
    <n v="6.1999999999999998E-3"/>
    <n v="5.2593800000000003E-2"/>
    <n v="2.9525699999999998E-2"/>
    <n v="4.1057400000000001E-2"/>
    <n v="1.4770200000000001E-2"/>
    <n v="1.84367E-2"/>
    <n v="2.47058E-2"/>
    <n v="3.7352000000000002E-3"/>
    <n v="3.7218000000000001E-2"/>
    <n v="3.4791999999999997E-2"/>
    <n v="1.55414E-2"/>
    <n v="5.5069199999999999E-2"/>
    <n v="0.33363379999999998"/>
    <n v="33363.379999999997"/>
    <n v="6.6157900000000006E-2"/>
    <n v="3770.89"/>
    <x v="0"/>
  </r>
  <r>
    <x v="10"/>
    <x v="0"/>
    <x v="0"/>
    <x v="0"/>
    <x v="1"/>
    <s v="INCOME FROM CLINICAL STUDIES"/>
    <s v="INCOME FROM CLINICAL STUDIES"/>
    <x v="0"/>
    <x v="4"/>
    <s v="Clinical Studies"/>
    <x v="4"/>
    <n v="3.75"/>
    <n v="0"/>
    <n v="0"/>
    <n v="0"/>
    <n v="0"/>
    <n v="-1.25"/>
    <n v="0"/>
    <n v="0"/>
    <n v="0"/>
    <n v="-2"/>
    <n v="0"/>
    <n v="0"/>
    <n v="0.5"/>
    <n v="50000"/>
    <n v="0"/>
    <n v="-250000"/>
    <x v="0"/>
  </r>
  <r>
    <x v="11"/>
    <x v="0"/>
    <x v="0"/>
    <x v="0"/>
    <x v="2"/>
    <s v="AYURVEDA INCOME"/>
    <s v="AYURVEDA INCOME"/>
    <x v="0"/>
    <x v="5"/>
    <s v="Aurveda"/>
    <x v="5"/>
    <n v="0"/>
    <n v="0"/>
    <n v="0"/>
    <n v="-1.3120000000000001"/>
    <n v="-1.9655"/>
    <n v="-0.28499999999999998"/>
    <n v="-0.49"/>
    <n v="-0.41499999999999998"/>
    <n v="-0.46899999999999997"/>
    <n v="-0.23799999999999999"/>
    <n v="-0.23623"/>
    <n v="-0.624"/>
    <n v="-6.0347299999999997"/>
    <n v="-603473"/>
    <n v="-6.1499999999999999E-2"/>
    <n v="-15000"/>
    <x v="0"/>
  </r>
  <r>
    <x v="12"/>
    <x v="0"/>
    <x v="0"/>
    <x v="1"/>
    <x v="3"/>
    <s v="INTEREST RECCEIVED"/>
    <s v="INTEREST RECCEIVED"/>
    <x v="0"/>
    <x v="4"/>
    <s v="Interest Received"/>
    <x v="4"/>
    <n v="-1.0395000000000001"/>
    <n v="-46.051226999999997"/>
    <n v="-39.407131"/>
    <n v="0"/>
    <n v="-11.12617"/>
    <n v="-15.464657000000001"/>
    <n v="-13.336360000000001"/>
    <n v="-9.16099"/>
    <n v="-0.43236999999999998"/>
    <n v="-13.935"/>
    <n v="-197.17670000000001"/>
    <n v="-327.43719399999998"/>
    <n v="-674.56730800000003"/>
    <n v="-63586630.399999999"/>
    <n v="-36.6947829"/>
    <n v="-19384.7"/>
    <x v="0"/>
  </r>
  <r>
    <x v="13"/>
    <x v="0"/>
    <x v="0"/>
    <x v="1"/>
    <x v="4"/>
    <s v="MISCELLANEOUS RECEIPTS"/>
    <s v="MISCELLANEOUS RECEIPTS"/>
    <x v="0"/>
    <x v="4"/>
    <s v="Miscellaneous Receipts"/>
    <x v="4"/>
    <n v="0"/>
    <n v="0"/>
    <n v="-0.19500000000000001"/>
    <n v="-2.8321299999999998"/>
    <n v="0"/>
    <n v="-0.33222740000000001"/>
    <n v="0"/>
    <n v="0"/>
    <n v="0"/>
    <n v="-7.0512100000000002"/>
    <n v="0"/>
    <n v="-1.2994000000000001"/>
    <n v="-11.7099674"/>
    <n v="-1170996.74"/>
    <n v="-0.32996720000000002"/>
    <n v="0"/>
    <x v="0"/>
  </r>
  <r>
    <x v="14"/>
    <x v="0"/>
    <x v="0"/>
    <x v="1"/>
    <x v="4"/>
    <s v="MISCELLANEOUS RECEIPTS"/>
    <s v="MISCELLANEOUS RECEIPTS"/>
    <x v="0"/>
    <x v="4"/>
    <s v="Miscellaneous Receipts"/>
    <x v="4"/>
    <n v="-2.0799999999999999E-2"/>
    <n v="-1.8669999999999999E-2"/>
    <n v="-8.8305999999999992E-3"/>
    <n v="-0.14027999999999999"/>
    <n v="-2.963E-2"/>
    <n v="-5.9300000000000004E-3"/>
    <n v="-5.5419999999999997E-2"/>
    <n v="-5.3280000000000001E-2"/>
    <n v="-1.9900000000000001E-2"/>
    <n v="-0.13006000000000001"/>
    <n v="-1.3350000000000001E-2"/>
    <n v="-2.3730000000000001E-2"/>
    <n v="-0.51986060000000001"/>
    <n v="-51986.06"/>
    <n v="-1.238E-2"/>
    <n v="-2132.2200000000003"/>
    <x v="0"/>
  </r>
  <r>
    <x v="15"/>
    <x v="0"/>
    <x v="0"/>
    <x v="1"/>
    <x v="4"/>
    <s v="MISCELLANEOUS RECEIPTS"/>
    <s v="MISCELLANEOUS RECEIPTS"/>
    <x v="0"/>
    <x v="4"/>
    <s v="Miscellaneous Receipts"/>
    <x v="4"/>
    <n v="0.25840000000000002"/>
    <n v="-0.15"/>
    <n v="0"/>
    <n v="-0.48332999999999998"/>
    <n v="-0.49258999999999997"/>
    <n v="-0.87480000000000002"/>
    <n v="-1.1595599999999999"/>
    <n v="-0.66549000000000003"/>
    <n v="-1.7907900000000001"/>
    <n v="-1.21655"/>
    <n v="-1.5924400000000001"/>
    <n v="-1.5815900000000001"/>
    <n v="-9.7487399999999997"/>
    <n v="-974874"/>
    <n v="-1.5949199999999999"/>
    <n v="-170021"/>
    <x v="0"/>
  </r>
  <r>
    <x v="16"/>
    <x v="0"/>
    <x v="0"/>
    <x v="1"/>
    <x v="4"/>
    <s v="MISCELLANEOUS RECEIPTS"/>
    <s v="MISCELLANEOUS RECEIPTS"/>
    <x v="0"/>
    <x v="4"/>
    <s v="Miscellaneous Receipts"/>
    <x v="4"/>
    <n v="0"/>
    <n v="0"/>
    <n v="0"/>
    <n v="0"/>
    <n v="0"/>
    <n v="0"/>
    <n v="0"/>
    <n v="0"/>
    <n v="-0.23567949999999999"/>
    <n v="-0.84745760000000003"/>
    <n v="-0.42373"/>
    <n v="0.23421790000000001"/>
    <n v="-1.2726492"/>
    <n v="-127264.92"/>
    <n v="0"/>
    <n v="0"/>
    <x v="0"/>
  </r>
  <r>
    <x v="17"/>
    <x v="0"/>
    <x v="0"/>
    <x v="1"/>
    <x v="4"/>
    <s v="MISCELLANEOUS RECEIPTS"/>
    <s v="MISCELLANEOUS RECEIPTS"/>
    <x v="0"/>
    <x v="4"/>
    <s v="Miscellaneous Receipts"/>
    <x v="4"/>
    <n v="2.2000000000000001E-3"/>
    <n v="2.0858000000000001E-3"/>
    <n v="-5.664E-4"/>
    <n v="-1.5842E-3"/>
    <n v="1.02386E-2"/>
    <n v="1.2879E-3"/>
    <n v="-1.17565E-2"/>
    <n v="-5.7781999999999998E-3"/>
    <n v="-2.4478E-3"/>
    <n v="-1.12733E-2"/>
    <n v="1.5517599999999999E-2"/>
    <n v="3.4729999999999999E-4"/>
    <n v="-1.7527E-3"/>
    <n v="-175.27"/>
    <n v="-9.1710000000000001E-4"/>
    <n v="-119.22000000000001"/>
    <x v="0"/>
  </r>
  <r>
    <x v="18"/>
    <x v="0"/>
    <x v="0"/>
    <x v="1"/>
    <x v="5"/>
    <s v="OTHER NON OPERATING INCOME"/>
    <s v="OTHER NON OPERATING INCOME"/>
    <x v="0"/>
    <x v="4"/>
    <s v="Other Non Operating Income"/>
    <x v="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"/>
    <x v="0"/>
    <x v="0"/>
    <x v="1"/>
    <x v="5"/>
    <s v="OTHER NON OPERATING INCOME"/>
    <s v="OTHER NON OPERATING INCOME"/>
    <x v="0"/>
    <x v="4"/>
    <s v="Other Non Operating Income"/>
    <x v="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0"/>
    <x v="0"/>
    <x v="0"/>
    <x v="1"/>
    <x v="5"/>
    <s v="OTHER NON OPERATING INCOME"/>
    <s v="OTHER NON OPERATING INCOME"/>
    <x v="0"/>
    <x v="4"/>
    <s v="Other Non Operating Income"/>
    <x v="4"/>
    <n v="-1.6904999999999999"/>
    <n v="-0.52468000000000004"/>
    <n v="-4.1928000000000001"/>
    <n v="-0.73455999999999999"/>
    <n v="-2.1496400000000002"/>
    <n v="-1.5481199999999999"/>
    <n v="-1.2133031000000001"/>
    <n v="-1.0216102"/>
    <n v="-1.1630984"/>
    <n v="-1.2670834"/>
    <n v="-0.64648320000000004"/>
    <n v="-0.84710739999999995"/>
    <n v="-16.9990101"/>
    <n v="-1699901.01"/>
    <n v="-0.5370336"/>
    <n v="-47357.62"/>
    <x v="0"/>
  </r>
  <r>
    <x v="21"/>
    <x v="0"/>
    <x v="0"/>
    <x v="1"/>
    <x v="5"/>
    <s v="OTHER NON OPERATING INCOME"/>
    <s v="OTHER NON OPERATING INCOME"/>
    <x v="0"/>
    <x v="4"/>
    <s v="Other Non Operating Income"/>
    <x v="4"/>
    <n v="0"/>
    <n v="-0.10508000000000001"/>
    <n v="-0.10508000000000001"/>
    <n v="-8.0079999999999998E-2"/>
    <n v="-3.39E-2"/>
    <n v="-8.0079999999999998E-2"/>
    <n v="-0.10508000000000001"/>
    <n v="-0.10508000000000001"/>
    <n v="-0.10508000000000001"/>
    <n v="-8.0079999999999998E-2"/>
    <n v="-0.10508000000000001"/>
    <n v="-0.16016"/>
    <n v="-1.0647800000000001"/>
    <n v="-106478"/>
    <n v="-1.05932"/>
    <n v="-6738"/>
    <x v="0"/>
  </r>
  <r>
    <x v="22"/>
    <x v="0"/>
    <x v="0"/>
    <x v="1"/>
    <x v="5"/>
    <s v="OTHER NON OPERATING INCOME"/>
    <s v="OTHER NON OPERATING INCOME"/>
    <x v="0"/>
    <x v="4"/>
    <s v="Other Non Operating Income"/>
    <x v="4"/>
    <n v="-0.4627"/>
    <n v="-0.51707999999999998"/>
    <n v="-0.52581999999999995"/>
    <n v="-0.51356000000000002"/>
    <n v="-0.43136999999999998"/>
    <n v="-0.49659999999999999"/>
    <n v="-0.45339000000000002"/>
    <n v="-0.49149999999999999"/>
    <n v="-0.53473000000000004"/>
    <n v="-0.54788000000000003"/>
    <n v="-0.45251000000000002"/>
    <n v="-0.43135000000000001"/>
    <n v="-5.8584899999999998"/>
    <n v="-585849"/>
    <n v="-0.26524999999999999"/>
    <n v="0"/>
    <x v="0"/>
  </r>
  <r>
    <x v="23"/>
    <x v="0"/>
    <x v="0"/>
    <x v="1"/>
    <x v="6"/>
    <s v="RENTAL INCOME"/>
    <s v="RENTAL INCOME"/>
    <x v="0"/>
    <x v="4"/>
    <s v="Rental Income"/>
    <x v="4"/>
    <n v="-1.3846000000000001"/>
    <n v="-1.62575"/>
    <n v="-1.62575"/>
    <n v="-1.62575"/>
    <n v="-1.6757500000000001"/>
    <n v="-1.6793100000000001"/>
    <n v="-1.6793100000000001"/>
    <n v="-1.6793100000000001"/>
    <n v="-8.0273099999999999"/>
    <n v="-2.20831"/>
    <n v="-2.0486200000000001"/>
    <n v="-2.13008"/>
    <n v="-27.389849999999999"/>
    <n v="-2738985"/>
    <n v="-1.96716"/>
    <n v="-204862"/>
    <x v="0"/>
  </r>
  <r>
    <x v="24"/>
    <x v="0"/>
    <x v="0"/>
    <x v="1"/>
    <x v="7"/>
    <s v="TRAINING FEES"/>
    <s v="TRAINING FEES"/>
    <x v="0"/>
    <x v="4"/>
    <s v="Training Fee"/>
    <x v="4"/>
    <n v="-4.0250000000000004"/>
    <n v="-1.5"/>
    <n v="-2.1"/>
    <n v="0"/>
    <n v="-1.25"/>
    <n v="-0.25"/>
    <n v="0"/>
    <n v="0"/>
    <n v="-1.1000000000000001"/>
    <n v="-0.85"/>
    <n v="-1.3"/>
    <n v="-4.05"/>
    <n v="-16.425000000000001"/>
    <n v="-1642500"/>
    <n v="-4.4000000000000004"/>
    <n v="-400000"/>
    <x v="0"/>
  </r>
  <r>
    <x v="25"/>
    <x v="0"/>
    <x v="0"/>
    <x v="1"/>
    <x v="7"/>
    <s v="TRAINING FEES"/>
    <s v="TRAINING FEES"/>
    <x v="0"/>
    <x v="4"/>
    <s v="Training Fee"/>
    <x v="4"/>
    <n v="-17.2745"/>
    <n v="-18.76679"/>
    <n v="-4.3896699999999997"/>
    <n v="-2.3811800000000001"/>
    <n v="-3.31338"/>
    <n v="-1.8812599999999999"/>
    <n v="-23.426960000000001"/>
    <n v="-16.028680000000001"/>
    <n v="0.38574999999999998"/>
    <n v="-19.933730000000001"/>
    <n v="-4.0727700000000002"/>
    <n v="-1.67784"/>
    <n v="-112.76102"/>
    <n v="-11276102"/>
    <n v="-2.1356700000000002"/>
    <n v="-572442"/>
    <x v="0"/>
  </r>
  <r>
    <x v="26"/>
    <x v="0"/>
    <x v="0"/>
    <x v="1"/>
    <x v="8"/>
    <s v="LAKESHORE ACCADEMY"/>
    <s v="LAKESHORE ACCADEMY"/>
    <x v="0"/>
    <x v="4"/>
    <s v="Lakeshore Accademy"/>
    <x v="4"/>
    <n v="-0.12989999999999999"/>
    <n v="-0.16526279999999999"/>
    <n v="-0.68506619999999996"/>
    <n v="-1.4263600000000001"/>
    <n v="-1.4984500000000001"/>
    <n v="-1.3871524"/>
    <n v="-1.1465487999999999"/>
    <n v="-0.2034"/>
    <n v="-0.13864000000000001"/>
    <n v="-5.9319999999999998E-2"/>
    <n v="0"/>
    <n v="-1.0252399999999999"/>
    <n v="-7.8653842000000003"/>
    <n v="-786538.42"/>
    <n v="-6.0737300000000001E-2"/>
    <n v="-2341.5300000000002"/>
    <x v="0"/>
  </r>
  <r>
    <x v="27"/>
    <x v="0"/>
    <x v="0"/>
    <x v="0"/>
    <x v="1"/>
    <s v="INCOME FROM CLINICAL STUDIES"/>
    <s v="INCOME FROM CLINICAL STUDIES"/>
    <x v="0"/>
    <x v="4"/>
    <m/>
    <x v="4"/>
    <n v="0"/>
    <n v="0"/>
    <n v="0"/>
    <n v="0"/>
    <n v="0"/>
    <n v="0"/>
    <n v="0"/>
    <n v="0"/>
    <n v="0"/>
    <n v="-1.9949999999999999E-2"/>
    <n v="0"/>
    <n v="0"/>
    <n v="-1.9949999999999999E-2"/>
    <n v="-1995"/>
    <n v="0"/>
    <n v="0"/>
    <x v="0"/>
  </r>
  <r>
    <x v="28"/>
    <x v="0"/>
    <x v="0"/>
    <x v="0"/>
    <x v="0"/>
    <m/>
    <m/>
    <x v="0"/>
    <x v="2"/>
    <s v="OP Revenue"/>
    <x v="2"/>
    <m/>
    <m/>
    <m/>
    <m/>
    <m/>
    <m/>
    <m/>
    <m/>
    <m/>
    <m/>
    <m/>
    <m/>
    <n v="0"/>
    <m/>
    <n v="-0.755"/>
    <n v="0"/>
    <x v="0"/>
  </r>
  <r>
    <x v="29"/>
    <x v="0"/>
    <x v="1"/>
    <x v="2"/>
    <x v="9"/>
    <s v="PURCHASE-MEDICAL STORE"/>
    <s v="PURCHASE-MEDICAL STORE"/>
    <x v="0"/>
    <x v="6"/>
    <s v="Medicines and consumables"/>
    <x v="6"/>
    <n v="350.96289999999999"/>
    <n v="405.38837890000002"/>
    <n v="348.93361599999997"/>
    <n v="439.48073929999998"/>
    <n v="427.06236130000002"/>
    <n v="375.0363954"/>
    <n v="382.05844960000002"/>
    <n v="329.88449980000001"/>
    <n v="403.63369669999997"/>
    <n v="480.49212999999997"/>
    <n v="377.47434809999999"/>
    <n v="329.31281969999998"/>
    <n v="4649.7202970999997"/>
    <n v="464972029.70999998"/>
    <n v="392.01341439999999"/>
    <n v="45047582.149999999"/>
    <x v="0"/>
  </r>
  <r>
    <x v="30"/>
    <x v="0"/>
    <x v="1"/>
    <x v="2"/>
    <x v="9"/>
    <s v="PURCHASE-GENERAL STORE"/>
    <s v="PURCHASE-GENERAL STORE"/>
    <x v="0"/>
    <x v="6"/>
    <s v="Medicines and consumables"/>
    <x v="6"/>
    <n v="434.20760000000001"/>
    <n v="500.91987510000001"/>
    <n v="495.839068"/>
    <n v="499.66645999999997"/>
    <n v="467.03851609999998"/>
    <n v="474.34772600000002"/>
    <n v="513.92334989999995"/>
    <n v="414.01445189999998"/>
    <n v="477.35672849999997"/>
    <n v="517.26100289999999"/>
    <n v="483.78532109999998"/>
    <n v="439.09876659999998"/>
    <n v="5717.4588513999997"/>
    <n v="571745885.13999999"/>
    <n v="492.66437500000001"/>
    <n v="51021203.560000002"/>
    <x v="0"/>
  </r>
  <r>
    <x v="31"/>
    <x v="0"/>
    <x v="1"/>
    <x v="2"/>
    <x v="9"/>
    <s v="PURCHASE-GENERAL STORE"/>
    <s v="PURCHASE-GENERAL STORE"/>
    <x v="0"/>
    <x v="6"/>
    <s v="Medicines and consumables"/>
    <x v="6"/>
    <n v="1.0262"/>
    <n v="2.8192005999999998"/>
    <n v="9.1831332999999997"/>
    <n v="5.6168095999999998"/>
    <n v="9.9191938000000004"/>
    <n v="8.6060922000000009"/>
    <n v="5.6931852000000003"/>
    <n v="11.1518876"/>
    <n v="2.6842212000000001"/>
    <n v="2.0574460000000001"/>
    <n v="9.8400069000000006"/>
    <n v="2.5023200000000001"/>
    <n v="71.099686399999996"/>
    <n v="7109968.6399999997"/>
    <n v="7.3642266999999997"/>
    <n v="880539.56"/>
    <x v="0"/>
  </r>
  <r>
    <x v="32"/>
    <x v="0"/>
    <x v="1"/>
    <x v="2"/>
    <x v="9"/>
    <s v="PURCHASE-GENERAL STORE"/>
    <s v="PURCHASE-GENERAL STORE"/>
    <x v="0"/>
    <x v="6"/>
    <s v="Medicines and consumables"/>
    <x v="6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33"/>
    <x v="0"/>
    <x v="1"/>
    <x v="2"/>
    <x v="9"/>
    <s v="PURCHASE-GENERAL STORE"/>
    <s v="PURCHASE-GENERAL STORE"/>
    <x v="0"/>
    <x v="6"/>
    <s v="Medicines and consumables"/>
    <x v="6"/>
    <n v="3.8881999999999999"/>
    <n v="7.9506899999999998"/>
    <n v="8.0954300000000003"/>
    <n v="6.2871499999999996"/>
    <n v="4.9199299999999999"/>
    <n v="6.7435499999999999"/>
    <n v="7.3485950000000004"/>
    <n v="4.5382417999999998"/>
    <n v="4.8021777999999999"/>
    <n v="7.3220375999999998"/>
    <n v="6.2859699999999998"/>
    <n v="5.55206"/>
    <n v="73.733985700000005"/>
    <n v="7373398.5700000003"/>
    <n v="5.8336714000000001"/>
    <n v="601632.36"/>
    <x v="0"/>
  </r>
  <r>
    <x v="34"/>
    <x v="0"/>
    <x v="1"/>
    <x v="2"/>
    <x v="9"/>
    <s v="PURCHASE-GENERAL STORE"/>
    <s v="PURCHASE-GENERAL STORE"/>
    <x v="0"/>
    <x v="6"/>
    <s v="Medicines and consumables"/>
    <x v="6"/>
    <n v="2.0367999999999999"/>
    <n v="0.8519021"/>
    <n v="2.5573418000000001"/>
    <n v="0"/>
    <n v="1.7037897"/>
    <n v="8.3623063000000002"/>
    <n v="5.2883703000000004"/>
    <n v="6.304576"/>
    <n v="7.3189698999999999"/>
    <n v="7.7561485000000001"/>
    <n v="0"/>
    <n v="0"/>
    <n v="42.1802329"/>
    <n v="4218023.29"/>
    <n v="0"/>
    <n v="6485.72"/>
    <x v="0"/>
  </r>
  <r>
    <x v="35"/>
    <x v="0"/>
    <x v="1"/>
    <x v="2"/>
    <x v="9"/>
    <s v="PURCHASE-ONCOLOGY STORE"/>
    <s v="PURCHASE-ONCOLOGY STORE"/>
    <x v="0"/>
    <x v="6"/>
    <s v="Medicines and consumables"/>
    <x v="6"/>
    <n v="137.99959999999999"/>
    <n v="198.49247070000001"/>
    <n v="152.3475723"/>
    <n v="195.74667579999999"/>
    <n v="199.1838746"/>
    <n v="154.09503330000001"/>
    <n v="177.0331205"/>
    <n v="146.45802449999999"/>
    <n v="138.04869640000001"/>
    <n v="149.31234269999999"/>
    <n v="139.26597720000001"/>
    <n v="180.02063799999999"/>
    <n v="1968.0040273"/>
    <n v="196800402.72999999"/>
    <n v="210.550128"/>
    <n v="23629666.68"/>
    <x v="0"/>
  </r>
  <r>
    <x v="36"/>
    <x v="0"/>
    <x v="1"/>
    <x v="2"/>
    <x v="9"/>
    <s v="PURCHASES (OTHER THAN STORE)"/>
    <s v="PURCHASES (OTHER THAN STORE)"/>
    <x v="0"/>
    <x v="7"/>
    <m/>
    <x v="7"/>
    <n v="0"/>
    <n v="0"/>
    <n v="0"/>
    <n v="0"/>
    <n v="0"/>
    <n v="0"/>
    <n v="7.5029999999999999E-2"/>
    <n v="0"/>
    <n v="0.52044000000000001"/>
    <n v="0.2301"/>
    <n v="2.7E-2"/>
    <n v="0.14941850000000001"/>
    <n v="1.0019884999999999"/>
    <n v="100198.85"/>
    <n v="0.21"/>
    <n v="101355.94"/>
    <x v="0"/>
  </r>
  <r>
    <x v="37"/>
    <x v="0"/>
    <x v="1"/>
    <x v="2"/>
    <x v="10"/>
    <s v="CONCESSION &amp; FREE"/>
    <s v="CONCESSION &amp; FREE"/>
    <x v="0"/>
    <x v="7"/>
    <s v="Others"/>
    <x v="7"/>
    <n v="0"/>
    <n v="0"/>
    <n v="0"/>
    <n v="0"/>
    <n v="4.1296499999999998"/>
    <n v="1.5583199999999999"/>
    <n v="1.81437"/>
    <n v="0.95009999999999994"/>
    <n v="0.98"/>
    <n v="1.1475"/>
    <n v="0.67090000000000005"/>
    <n v="0.84799999999999998"/>
    <n v="12.098839999999999"/>
    <n v="1209884"/>
    <n v="0"/>
    <n v="73750"/>
    <x v="0"/>
  </r>
  <r>
    <x v="38"/>
    <x v="0"/>
    <x v="1"/>
    <x v="2"/>
    <x v="10"/>
    <s v="CONCESSION &amp; FREE"/>
    <s v="CONCESSION &amp; FREE"/>
    <x v="0"/>
    <x v="3"/>
    <s v="IP Revenue"/>
    <x v="3"/>
    <n v="5.5393999999999997"/>
    <n v="5.71408"/>
    <n v="3.5101"/>
    <n v="4.8580452000000003"/>
    <n v="4.8505500000000001"/>
    <n v="4.5944050000000001"/>
    <n v="5.8301350000000003"/>
    <n v="5.1113549999999996"/>
    <n v="4.0649300000000004"/>
    <n v="5.9750712000000004"/>
    <n v="4.4949300000000001"/>
    <n v="5.9225770000000004"/>
    <n v="60.465528399999997"/>
    <n v="6046552.8399999999"/>
    <n v="5.7390600000000003"/>
    <n v="776623.5"/>
    <x v="0"/>
  </r>
  <r>
    <x v="39"/>
    <x v="0"/>
    <x v="1"/>
    <x v="2"/>
    <x v="10"/>
    <s v="CONCESSION &amp; FREE"/>
    <s v="CONCESSION &amp; FREE"/>
    <x v="0"/>
    <x v="2"/>
    <s v="OP Revenue"/>
    <x v="2"/>
    <n v="8.9931999999999999"/>
    <n v="9.7095050000000001"/>
    <n v="11.98133"/>
    <n v="13.987125000000001"/>
    <n v="13.221185"/>
    <n v="11.43906"/>
    <n v="11.214124999999999"/>
    <n v="9.5939376000000003"/>
    <n v="11.227895"/>
    <n v="11.4695152"/>
    <n v="10.537789999999999"/>
    <n v="10.420999999999999"/>
    <n v="133.7956528"/>
    <n v="13379565.279999999"/>
    <n v="9.5431150000000002"/>
    <n v="1112356"/>
    <x v="0"/>
  </r>
  <r>
    <x v="40"/>
    <x v="0"/>
    <x v="1"/>
    <x v="2"/>
    <x v="10"/>
    <s v="CONCESSION &amp; FREE"/>
    <s v="CONCESSION &amp; FREE"/>
    <x v="0"/>
    <x v="3"/>
    <s v="IP Revenue"/>
    <x v="3"/>
    <n v="8.8865999999999996"/>
    <n v="13.999478099999999"/>
    <n v="9.0146709999999999"/>
    <n v="13.4960258"/>
    <n v="14.6572522"/>
    <n v="15.9940167"/>
    <n v="18.011534300000001"/>
    <n v="14.360375299999999"/>
    <n v="10.1845207"/>
    <n v="17.261399600000001"/>
    <n v="12.0609042"/>
    <n v="12.558060899999999"/>
    <n v="160.48486500000001"/>
    <n v="16048486.5"/>
    <n v="14.7222113"/>
    <n v="1801896.31"/>
    <x v="0"/>
  </r>
  <r>
    <x v="41"/>
    <x v="0"/>
    <x v="1"/>
    <x v="2"/>
    <x v="10"/>
    <s v="CONCESSION &amp; FREE"/>
    <s v="CONCESSION &amp; FREE"/>
    <x v="0"/>
    <x v="3"/>
    <s v="IP Revenue"/>
    <x v="3"/>
    <n v="0.1575"/>
    <n v="0.1815059"/>
    <n v="0.13120999999999999"/>
    <n v="0.19958000000000001"/>
    <n v="0.17965500000000001"/>
    <n v="0.2124277"/>
    <n v="0.258185"/>
    <n v="0.20721000000000001"/>
    <n v="0.17842759999999999"/>
    <n v="0.11851250000000001"/>
    <n v="0.1192452"/>
    <n v="0.18437999999999999"/>
    <n v="2.1277938000000001"/>
    <n v="212779.38"/>
    <n v="0.16707"/>
    <n v="10613.09"/>
    <x v="0"/>
  </r>
  <r>
    <x v="42"/>
    <x v="0"/>
    <x v="1"/>
    <x v="2"/>
    <x v="10"/>
    <s v="CONCESSION &amp; FREE"/>
    <s v="CONCESSION &amp; FREE"/>
    <x v="0"/>
    <x v="3"/>
    <s v="IP Revenue"/>
    <x v="3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43"/>
    <x v="0"/>
    <x v="1"/>
    <x v="2"/>
    <x v="10"/>
    <s v="CONCESSION &amp; FREE"/>
    <s v="CONCESSION &amp; FREE"/>
    <x v="0"/>
    <x v="2"/>
    <s v="OP Revenue"/>
    <x v="2"/>
    <n v="0"/>
    <n v="0"/>
    <n v="0"/>
    <n v="0"/>
    <n v="0.01"/>
    <n v="2.5000000000000001E-2"/>
    <n v="0"/>
    <n v="0"/>
    <n v="0"/>
    <n v="0"/>
    <n v="1.4999999999999999E-2"/>
    <n v="0"/>
    <n v="0.05"/>
    <n v="5000"/>
    <n v="5.0000000000000001E-3"/>
    <n v="0"/>
    <x v="0"/>
  </r>
  <r>
    <x v="44"/>
    <x v="0"/>
    <x v="1"/>
    <x v="2"/>
    <x v="10"/>
    <s v="CONCESSION &amp; FREE"/>
    <s v="CONCESSION &amp; FREE"/>
    <x v="0"/>
    <x v="2"/>
    <s v="OP Revenue"/>
    <x v="2"/>
    <n v="16.634"/>
    <n v="12.441660000000001"/>
    <n v="12.14429"/>
    <n v="15.949954999999999"/>
    <n v="16.5199453"/>
    <n v="16.117360000000001"/>
    <n v="14.352634999999999"/>
    <n v="15.337297400000001"/>
    <n v="14.28227"/>
    <n v="15.3988973"/>
    <n v="12.710504999999999"/>
    <n v="13.7008612"/>
    <n v="175.58971120000001"/>
    <n v="17558971.120000001"/>
    <n v="9.9974900000000009"/>
    <n v="1385327.3"/>
    <x v="0"/>
  </r>
  <r>
    <x v="45"/>
    <x v="0"/>
    <x v="1"/>
    <x v="2"/>
    <x v="10"/>
    <s v="CONCESSION &amp; FREE"/>
    <s v="CONCESSION &amp; FREE"/>
    <x v="0"/>
    <x v="0"/>
    <s v="IP Pharmacy"/>
    <x v="0"/>
    <n v="4.1399999999999999E-2"/>
    <n v="2.4422300000000001E-2"/>
    <n v="4.8623899999999998E-2"/>
    <n v="7.3312000000000002E-2"/>
    <n v="5.6129499999999999E-2"/>
    <n v="0.46720840000000002"/>
    <n v="4.7147500000000002E-2"/>
    <n v="4.2981900000000003E-2"/>
    <n v="7.7973200000000006E-2"/>
    <n v="7.4795899999999998E-2"/>
    <n v="5.7473299999999998E-2"/>
    <n v="0.1460842"/>
    <n v="1.1575601"/>
    <n v="115756.01"/>
    <n v="3.8690099999999998E-2"/>
    <n v="18836.04"/>
    <x v="0"/>
  </r>
  <r>
    <x v="46"/>
    <x v="0"/>
    <x v="1"/>
    <x v="2"/>
    <x v="10"/>
    <s v="CONCESSION &amp; FREE"/>
    <s v="CONCESSION &amp; FREE"/>
    <x v="0"/>
    <x v="1"/>
    <s v="OP Pharmacy"/>
    <x v="1"/>
    <n v="14.055199999999999"/>
    <n v="14.3055027"/>
    <n v="13.1806471"/>
    <n v="16.295225899999998"/>
    <n v="16.221195600000001"/>
    <n v="15.423203600000001"/>
    <n v="16.428311699999998"/>
    <n v="14.642920200000001"/>
    <n v="16.181781999999998"/>
    <n v="18.9244649"/>
    <n v="16.0658314"/>
    <n v="16.0800412"/>
    <n v="187.80428749999999"/>
    <n v="18780428.75"/>
    <n v="16.3124523"/>
    <n v="1753559.6"/>
    <x v="0"/>
  </r>
  <r>
    <x v="47"/>
    <x v="0"/>
    <x v="1"/>
    <x v="2"/>
    <x v="10"/>
    <s v="CONCESSION &amp; FREE"/>
    <s v="CONCESSION &amp; FREE"/>
    <x v="0"/>
    <x v="3"/>
    <s v="IP Revenue"/>
    <x v="3"/>
    <n v="28.502099999999999"/>
    <n v="23.533297099999999"/>
    <n v="12.172304799999999"/>
    <n v="14.0293346"/>
    <n v="10.435775"/>
    <n v="15.3633858"/>
    <n v="22.3297311"/>
    <n v="14.2526773"/>
    <n v="28.183743499999999"/>
    <n v="29.727239900000001"/>
    <n v="31.598903499999999"/>
    <n v="23.737713299999999"/>
    <n v="253.8662157"/>
    <n v="25386621.57"/>
    <n v="36.731415900000002"/>
    <n v="1851222.09"/>
    <x v="0"/>
  </r>
  <r>
    <x v="48"/>
    <x v="0"/>
    <x v="1"/>
    <x v="2"/>
    <x v="10"/>
    <s v="CONCESSION &amp; FREE"/>
    <s v="CONCESSION &amp; FREE"/>
    <x v="0"/>
    <x v="3"/>
    <s v="IP Revenue"/>
    <x v="3"/>
    <n v="1.0370999999999999"/>
    <n v="27.90944"/>
    <n v="0.39244620000000002"/>
    <n v="21.824612299999998"/>
    <n v="23.253075599999999"/>
    <n v="22.059086499999999"/>
    <n v="0.64198820000000001"/>
    <n v="1.4418105000000001"/>
    <n v="25.181557600000001"/>
    <n v="0.1749725"/>
    <n v="0.40803780000000001"/>
    <n v="68.676727299999996"/>
    <n v="193.0008412"/>
    <n v="19300084.120000001"/>
    <n v="1.556176"/>
    <n v="63685.03"/>
    <x v="0"/>
  </r>
  <r>
    <x v="49"/>
    <x v="0"/>
    <x v="1"/>
    <x v="2"/>
    <x v="10"/>
    <s v="CONCESSION &amp; FREE"/>
    <s v="CONCESSION &amp; FREE"/>
    <x v="0"/>
    <x v="3"/>
    <s v="IP Revenue"/>
    <x v="3"/>
    <n v="26.349900000000002"/>
    <n v="27.275561199999999"/>
    <n v="27.681729300000001"/>
    <n v="29.091432600000001"/>
    <n v="24.5951123"/>
    <n v="22.833759300000001"/>
    <n v="26.561763200000001"/>
    <n v="25.0723412"/>
    <n v="30.471254200000001"/>
    <n v="34.577573600000001"/>
    <n v="27.968220800000001"/>
    <n v="31.0855797"/>
    <n v="333.56424199999998"/>
    <n v="33356424.199999999"/>
    <n v="33.761783399999999"/>
    <n v="3542560.73"/>
    <x v="0"/>
  </r>
  <r>
    <x v="50"/>
    <x v="0"/>
    <x v="1"/>
    <x v="2"/>
    <x v="10"/>
    <s v="CONCESSION &amp; FREE"/>
    <s v="CONCESSION &amp; FREE"/>
    <x v="0"/>
    <x v="2"/>
    <s v="OP Revenue"/>
    <x v="2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51"/>
    <x v="0"/>
    <x v="1"/>
    <x v="2"/>
    <x v="11"/>
    <s v="PURCHASES-ASSETS (STORE)"/>
    <s v="PURCHASES-ASSETS (STORE)"/>
    <x v="0"/>
    <x v="6"/>
    <s v="Medicines and consumables"/>
    <x v="6"/>
    <n v="0"/>
    <n v="0"/>
    <n v="0"/>
    <n v="0"/>
    <n v="0"/>
    <n v="0"/>
    <n v="0"/>
    <n v="0"/>
    <n v="0"/>
    <n v="0"/>
    <n v="0"/>
    <n v="0"/>
    <n v="0"/>
    <n v="0"/>
    <n v="5.3237556000000001"/>
    <n v="361114.83"/>
    <x v="0"/>
  </r>
  <r>
    <x v="52"/>
    <x v="0"/>
    <x v="1"/>
    <x v="2"/>
    <x v="12"/>
    <s v="SALARIES &amp; WAGES"/>
    <s v="REMUNERATION TO MD"/>
    <x v="0"/>
    <x v="8"/>
    <s v="Salaries &amp; Allowances"/>
    <x v="8"/>
    <n v="13.569000000000001"/>
    <n v="13.569000000000001"/>
    <n v="13.569000000000001"/>
    <n v="13.569000000000001"/>
    <n v="13.569000000000001"/>
    <n v="13.569000000000001"/>
    <n v="13.569000000000001"/>
    <n v="13.569000000000001"/>
    <n v="13.569000000000001"/>
    <n v="13.569000000000001"/>
    <n v="13.569000000000001"/>
    <n v="13.569000000000001"/>
    <n v="162.828"/>
    <n v="16282800"/>
    <n v="13.569000000000001"/>
    <n v="1356900"/>
    <x v="0"/>
  </r>
  <r>
    <x v="53"/>
    <x v="0"/>
    <x v="1"/>
    <x v="2"/>
    <x v="12"/>
    <s v="SALARIES &amp; WAGES"/>
    <s v="SALARY TO DOCTORS"/>
    <x v="0"/>
    <x v="9"/>
    <s v="Salary to Doctors"/>
    <x v="9"/>
    <n v="54.223199999999999"/>
    <n v="59.474089999999997"/>
    <n v="58.158940000000001"/>
    <n v="43.637610000000002"/>
    <n v="47.288260000000001"/>
    <n v="51.320419999999999"/>
    <n v="43.507129999999997"/>
    <n v="49.42651"/>
    <n v="62.648580000000003"/>
    <n v="57.234070000000003"/>
    <n v="55.521030000000003"/>
    <n v="56.771239999999999"/>
    <n v="639.21105"/>
    <n v="63921105"/>
    <n v="56.072159999999997"/>
    <n v="5649906"/>
    <x v="0"/>
  </r>
  <r>
    <x v="54"/>
    <x v="0"/>
    <x v="1"/>
    <x v="2"/>
    <x v="12"/>
    <s v="SALARIES &amp; WAGES"/>
    <s v="SALARIES &amp; ALLOWANCES"/>
    <x v="0"/>
    <x v="8"/>
    <s v="Salaries &amp; Allowances"/>
    <x v="8"/>
    <n v="0"/>
    <n v="0"/>
    <n v="0"/>
    <n v="0"/>
    <n v="0"/>
    <n v="60.438949999999998"/>
    <n v="0"/>
    <n v="0"/>
    <n v="0"/>
    <n v="0"/>
    <n v="0"/>
    <n v="0"/>
    <n v="60.438949999999998"/>
    <n v="6043895"/>
    <n v="0"/>
    <n v="0"/>
    <x v="0"/>
  </r>
  <r>
    <x v="55"/>
    <x v="0"/>
    <x v="1"/>
    <x v="2"/>
    <x v="12"/>
    <s v="SALARIES &amp; WAGES"/>
    <s v="SALARIES &amp; ALLOWANCES"/>
    <x v="0"/>
    <x v="8"/>
    <s v="Salaries &amp; Allowances"/>
    <x v="8"/>
    <n v="-9.6299999999999997E-2"/>
    <n v="-8.1119999999999998E-2"/>
    <n v="-9.418E-2"/>
    <n v="-8.1199999999999994E-2"/>
    <n v="-8.1280000000000005E-2"/>
    <n v="-7.7939999999999995E-2"/>
    <n v="-7.4179999999999996E-2"/>
    <n v="-7.3770000000000002E-2"/>
    <n v="-7.0639999999999994E-2"/>
    <n v="-7.1970000000000006E-2"/>
    <n v="-7.1239999999999998E-2"/>
    <n v="-7.1360000000000007E-2"/>
    <n v="-0.94515000000000005"/>
    <n v="-94515"/>
    <n v="-6.9349999999999995E-2"/>
    <n v="-7160"/>
    <x v="0"/>
  </r>
  <r>
    <x v="56"/>
    <x v="0"/>
    <x v="1"/>
    <x v="2"/>
    <x v="12"/>
    <s v="SALARIES &amp; WAGES"/>
    <s v="SALARIES &amp; ALLOWANCES"/>
    <x v="0"/>
    <x v="8"/>
    <s v="Salaries &amp; Allowances"/>
    <x v="8"/>
    <n v="464.35480000000001"/>
    <n v="494.31317999999999"/>
    <n v="485.34638000000001"/>
    <n v="476.23631999999998"/>
    <n v="484.02686"/>
    <n v="483.47669000000002"/>
    <n v="504.07729619999998"/>
    <n v="470.86639000000002"/>
    <n v="485.78570000000002"/>
    <n v="477.08883379999997"/>
    <n v="488.24112000000002"/>
    <n v="521.64639399999999"/>
    <n v="5835.4599639999997"/>
    <n v="583545996.39999998"/>
    <n v="527.17395999999997"/>
    <n v="52533597"/>
    <x v="0"/>
  </r>
  <r>
    <x v="57"/>
    <x v="0"/>
    <x v="1"/>
    <x v="2"/>
    <x v="12"/>
    <s v="SALARIES &amp; WAGES"/>
    <s v="TRAINING EXPENSES"/>
    <x v="0"/>
    <x v="8"/>
    <s v="Salaries &amp; Allowances"/>
    <x v="8"/>
    <n v="42.360399999999998"/>
    <n v="46.475439999999999"/>
    <n v="47.248519999999999"/>
    <n v="50.343820000000001"/>
    <n v="50.199550000000002"/>
    <n v="52.486539999999998"/>
    <n v="46.712299999999999"/>
    <n v="42.01323"/>
    <n v="37.619010000000003"/>
    <n v="38.726179999999999"/>
    <n v="37.018389999999997"/>
    <n v="40.456949999999999"/>
    <n v="531.66034999999999"/>
    <n v="53166035"/>
    <n v="39.657400000000003"/>
    <n v="3830440"/>
    <x v="0"/>
  </r>
  <r>
    <x v="58"/>
    <x v="0"/>
    <x v="1"/>
    <x v="2"/>
    <x v="12"/>
    <s v="SALARIES &amp; WAGES"/>
    <s v="TRAINING EXPENSES"/>
    <x v="0"/>
    <x v="8"/>
    <s v="Salaries &amp; Allowances"/>
    <x v="8"/>
    <n v="0"/>
    <n v="3.5000000000000003E-2"/>
    <n v="0.14342269999999999"/>
    <n v="0"/>
    <n v="0"/>
    <n v="0"/>
    <n v="0"/>
    <n v="0"/>
    <n v="0.02"/>
    <n v="0"/>
    <n v="0"/>
    <n v="0"/>
    <n v="0.19842270000000001"/>
    <n v="19842.27"/>
    <n v="0"/>
    <n v="0"/>
    <x v="0"/>
  </r>
  <r>
    <x v="59"/>
    <x v="0"/>
    <x v="1"/>
    <x v="2"/>
    <x v="12"/>
    <s v="CONTRIBUTION TO PF AND OTHER FUNDS"/>
    <s v="CONTRIBUTION TO PF AND OTHER FUNDS"/>
    <x v="0"/>
    <x v="8"/>
    <s v="PF &amp; ESI Employers Share"/>
    <x v="8"/>
    <n v="0"/>
    <n v="0.79340999999999995"/>
    <n v="0.88514000000000004"/>
    <n v="0.94952999999999999"/>
    <n v="0.96243999999999996"/>
    <n v="0.99929000000000001"/>
    <n v="1.0911200000000001"/>
    <n v="0.66815000000000002"/>
    <n v="0.63509000000000004"/>
    <n v="0.63297000000000003"/>
    <n v="1.35179"/>
    <n v="0.73453000000000002"/>
    <n v="9.7034599999999998"/>
    <n v="970346"/>
    <n v="0.70265"/>
    <n v="68092"/>
    <x v="0"/>
  </r>
  <r>
    <x v="60"/>
    <x v="0"/>
    <x v="1"/>
    <x v="2"/>
    <x v="12"/>
    <s v="CONTRIBUTION TO PF AND OTHER FUNDS"/>
    <s v="CONTRIBUTION TO PF AND OTHER FUNDS"/>
    <x v="0"/>
    <x v="8"/>
    <s v="PF &amp; ESI Employers Share"/>
    <x v="8"/>
    <n v="0"/>
    <n v="1.0398799999999999"/>
    <n v="1.0432999999999999"/>
    <n v="1.05657"/>
    <n v="1.0742799999999999"/>
    <n v="1.08179"/>
    <n v="1.0050399999999999"/>
    <n v="1.01739"/>
    <n v="1.02189"/>
    <n v="1.0032000000000001"/>
    <n v="2.0397799999999999"/>
    <n v="1.03135"/>
    <n v="12.41447"/>
    <n v="1241447"/>
    <n v="1.0219"/>
    <n v="101340"/>
    <x v="0"/>
  </r>
  <r>
    <x v="61"/>
    <x v="0"/>
    <x v="1"/>
    <x v="2"/>
    <x v="12"/>
    <s v="CONTRIBUTION TO PF AND OTHER FUNDS"/>
    <s v="CONTRIBUTION TO PF AND OTHER FUNDS"/>
    <x v="0"/>
    <x v="8"/>
    <s v="PF &amp; ESI Employers Share"/>
    <x v="8"/>
    <n v="0"/>
    <n v="24.266110000000001"/>
    <n v="24.277950000000001"/>
    <n v="24.5837"/>
    <n v="24.834630000000001"/>
    <n v="24.9207"/>
    <n v="25.100840000000002"/>
    <n v="25.678460000000001"/>
    <n v="24.52525"/>
    <n v="24.076789999999999"/>
    <n v="49.256140000000002"/>
    <n v="24.47026"/>
    <n v="295.99083000000002"/>
    <n v="29599083"/>
    <n v="24.50657"/>
    <n v="2432176"/>
    <x v="0"/>
  </r>
  <r>
    <x v="62"/>
    <x v="0"/>
    <x v="1"/>
    <x v="2"/>
    <x v="12"/>
    <s v="STAFF WELFARE EXPENSES"/>
    <s v="STAFF WELFARE EXPENSES"/>
    <x v="0"/>
    <x v="8"/>
    <s v="Staff welfare expenses"/>
    <x v="8"/>
    <n v="0"/>
    <n v="0"/>
    <n v="0"/>
    <n v="0"/>
    <n v="0.17299999999999999"/>
    <n v="9.7500000000000003E-2"/>
    <n v="0"/>
    <n v="0"/>
    <n v="0"/>
    <n v="0.1"/>
    <n v="0"/>
    <n v="0"/>
    <n v="0.3705"/>
    <n v="37050"/>
    <n v="0"/>
    <n v="0"/>
    <x v="0"/>
  </r>
  <r>
    <x v="63"/>
    <x v="0"/>
    <x v="1"/>
    <x v="2"/>
    <x v="12"/>
    <s v="STAFF WELFARE EXPENSES"/>
    <s v="STAFF WELFARE EXPENSES"/>
    <x v="0"/>
    <x v="8"/>
    <s v="Staff welfare expenses"/>
    <x v="8"/>
    <n v="0"/>
    <n v="0.02"/>
    <n v="0"/>
    <n v="0"/>
    <n v="0"/>
    <n v="0"/>
    <n v="0"/>
    <n v="0"/>
    <n v="0"/>
    <n v="0"/>
    <n v="0"/>
    <n v="0"/>
    <n v="0.02"/>
    <n v="2000"/>
    <n v="0"/>
    <n v="0"/>
    <x v="0"/>
  </r>
  <r>
    <x v="64"/>
    <x v="0"/>
    <x v="1"/>
    <x v="2"/>
    <x v="12"/>
    <s v="STAFF WELFARE EXPENSES"/>
    <s v="STAFF WELFARE EXPENSES"/>
    <x v="0"/>
    <x v="8"/>
    <s v="Staff welfare expenses"/>
    <x v="8"/>
    <n v="0"/>
    <n v="4.65E-2"/>
    <n v="0"/>
    <n v="0"/>
    <n v="0"/>
    <n v="0"/>
    <n v="0"/>
    <n v="0"/>
    <n v="0"/>
    <n v="0"/>
    <n v="0"/>
    <n v="0"/>
    <n v="4.65E-2"/>
    <n v="4650"/>
    <n v="0"/>
    <n v="0"/>
    <x v="0"/>
  </r>
  <r>
    <x v="65"/>
    <x v="0"/>
    <x v="1"/>
    <x v="2"/>
    <x v="12"/>
    <s v="STAFF WELFARE EXPENSES"/>
    <s v="STAFF WELFARE EXPENSES"/>
    <x v="0"/>
    <x v="8"/>
    <s v="Staff welfare expenses"/>
    <x v="8"/>
    <n v="3.3399999999999999E-2"/>
    <n v="6.4082303999999999"/>
    <n v="4.3467099999999999"/>
    <n v="7.5037149999999997"/>
    <n v="-2.2356883000000001"/>
    <n v="4.2469200000000003"/>
    <n v="5.0941188999999998"/>
    <n v="5.9315791999999998"/>
    <n v="5.8111879999999996"/>
    <n v="6.0295705999999996"/>
    <n v="7.2939458000000004"/>
    <n v="15.219773200000001"/>
    <n v="65.683462800000001"/>
    <n v="6568346.2800000003"/>
    <n v="5.6156259999999998"/>
    <n v="724516.58"/>
    <x v="0"/>
  </r>
  <r>
    <x v="66"/>
    <x v="0"/>
    <x v="1"/>
    <x v="2"/>
    <x v="13"/>
    <s v="BANK CHARGES"/>
    <s v="BANK CHARGES"/>
    <x v="0"/>
    <x v="10"/>
    <s v="Bank Charges"/>
    <x v="10"/>
    <n v="0.26050000000000001"/>
    <n v="5.4412237000000001"/>
    <n v="7.1676003000000001"/>
    <n v="7.1360197999999997"/>
    <n v="7.0442333000000001"/>
    <n v="6.2572910999999998"/>
    <n v="2.4575941000000001"/>
    <n v="3.0369959999999998"/>
    <n v="2.3901515"/>
    <n v="2.4481164"/>
    <n v="2.1909624999999999"/>
    <n v="1.465292"/>
    <n v="47.295945099999997"/>
    <n v="4729594.51"/>
    <n v="1.5696950999999999"/>
    <n v="193318.97"/>
    <x v="0"/>
  </r>
  <r>
    <x v="67"/>
    <x v="0"/>
    <x v="1"/>
    <x v="2"/>
    <x v="13"/>
    <s v="BANK CHARGES"/>
    <s v="BANK CHARGES"/>
    <x v="0"/>
    <x v="10"/>
    <s v="Bank Charges"/>
    <x v="10"/>
    <n v="8.8499999999999995E-2"/>
    <n v="0.19185260000000001"/>
    <n v="0.16358130000000001"/>
    <n v="0.12670339999999999"/>
    <n v="0.1127589"/>
    <n v="0.23026869999999999"/>
    <n v="0.1202375"/>
    <n v="0.20596709999999999"/>
    <n v="0.22232959999999999"/>
    <n v="0.2028578"/>
    <n v="0.19986499999999999"/>
    <n v="3.8064494"/>
    <n v="5.6713430999999996"/>
    <n v="567134.31000000006"/>
    <n v="0.18591769999999999"/>
    <n v="22227.360000000001"/>
    <x v="0"/>
  </r>
  <r>
    <x v="68"/>
    <x v="0"/>
    <x v="1"/>
    <x v="2"/>
    <x v="13"/>
    <s v="BANK CHARGES"/>
    <s v="BANK CHARGES"/>
    <x v="0"/>
    <x v="10"/>
    <s v="Bank Charges"/>
    <x v="1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69"/>
    <x v="0"/>
    <x v="1"/>
    <x v="2"/>
    <x v="14"/>
    <s v="POWER,FUEL &amp; WATER CHARGES"/>
    <s v="FUEL CHARGES"/>
    <x v="0"/>
    <x v="11"/>
    <s v="Fuel Charges"/>
    <x v="11"/>
    <n v="0.02"/>
    <n v="1.74397"/>
    <n v="2.8702399999999999"/>
    <n v="1.1962600000000001"/>
    <n v="1.66418"/>
    <n v="1.3514299999999999"/>
    <n v="12.441140000000001"/>
    <n v="1.8463700000000001"/>
    <n v="0.97872000000000003"/>
    <n v="1.0988500000000001"/>
    <n v="12.613720000000001"/>
    <n v="2.8426999999999998"/>
    <n v="40.667580000000001"/>
    <n v="4066758"/>
    <n v="1.335"/>
    <n v="733728"/>
    <x v="0"/>
  </r>
  <r>
    <x v="70"/>
    <x v="0"/>
    <x v="1"/>
    <x v="2"/>
    <x v="14"/>
    <s v="POWER,FUEL &amp; WATER CHARGES"/>
    <s v="WATER CHARGES"/>
    <x v="0"/>
    <x v="11"/>
    <s v="Water Charges"/>
    <x v="11"/>
    <n v="0"/>
    <n v="0.75095999999999996"/>
    <n v="1.7663599999999999"/>
    <n v="0.83342000000000005"/>
    <n v="0.99136999999999997"/>
    <n v="0.61617999999999995"/>
    <n v="0.97"/>
    <n v="0.88585000000000003"/>
    <n v="1.15035"/>
    <n v="0.91825000000000001"/>
    <n v="0.49875000000000003"/>
    <n v="3.1851729999999998"/>
    <n v="12.566663"/>
    <n v="1256666.3"/>
    <n v="0.96750999999999998"/>
    <n v="98730"/>
    <x v="0"/>
  </r>
  <r>
    <x v="71"/>
    <x v="0"/>
    <x v="1"/>
    <x v="2"/>
    <x v="14"/>
    <s v="POWER,FUEL &amp; WATER CHARGES"/>
    <s v="WATER CHARGES"/>
    <x v="0"/>
    <x v="11"/>
    <s v="Water Charges"/>
    <x v="11"/>
    <n v="6.7862999999999998"/>
    <n v="8.4000000000000005E-2"/>
    <n v="11.552110000000001"/>
    <n v="11.48903"/>
    <n v="-0.38718000000000002"/>
    <n v="9.0155200000000004"/>
    <n v="5.4575800000000001"/>
    <n v="2.9207000000000001"/>
    <n v="10.2255"/>
    <n v="15.96236"/>
    <n v="-2.6570200000000002"/>
    <n v="12.1228"/>
    <n v="82.571680000000001"/>
    <n v="8257168"/>
    <n v="10.39485"/>
    <n v="0"/>
    <x v="0"/>
  </r>
  <r>
    <x v="72"/>
    <x v="0"/>
    <x v="1"/>
    <x v="2"/>
    <x v="14"/>
    <s v="POWER,FUEL &amp; WATER CHARGES"/>
    <s v="ELECTRICITY CHARGES"/>
    <x v="0"/>
    <x v="11"/>
    <s v="Electricity Charges"/>
    <x v="11"/>
    <n v="80.583799999999997"/>
    <n v="86.272149999999996"/>
    <n v="76.670829999999995"/>
    <n v="78.604489999999998"/>
    <n v="80.654309999999995"/>
    <n v="81.167469999999994"/>
    <n v="82.544780000000003"/>
    <n v="76.647390000000001"/>
    <n v="79.424090000000007"/>
    <n v="80.827510000000004"/>
    <n v="74.903649999999999"/>
    <n v="88.17895"/>
    <n v="966.47940000000006"/>
    <n v="96647940"/>
    <n v="88.462429999999998"/>
    <n v="8830292"/>
    <x v="0"/>
  </r>
  <r>
    <x v="73"/>
    <x v="0"/>
    <x v="1"/>
    <x v="2"/>
    <x v="14"/>
    <s v="POWER,FUEL &amp; WATER CHARGES"/>
    <s v="ELECTRICITY CHARGES"/>
    <x v="0"/>
    <x v="11"/>
    <s v="Electricity Charges"/>
    <x v="11"/>
    <n v="0"/>
    <n v="5.1247800000000003"/>
    <n v="10.826650000000001"/>
    <n v="4.1238999999999999"/>
    <n v="6.6763300000000001"/>
    <n v="4.2287600000000003"/>
    <n v="6.22281"/>
    <n v="4.8195800000000002"/>
    <n v="5.4744599999999997"/>
    <n v="4.7112800000000004"/>
    <n v="4.4139400000000002"/>
    <n v="14.215719999999999"/>
    <n v="70.838210000000004"/>
    <n v="7083821"/>
    <n v="6.0173500000000004"/>
    <n v="615478"/>
    <x v="0"/>
  </r>
  <r>
    <x v="74"/>
    <x v="0"/>
    <x v="1"/>
    <x v="2"/>
    <x v="14"/>
    <s v="POWER,FUEL &amp; WATER CHARGES"/>
    <s v="ELECTRICITY CHARGES"/>
    <x v="0"/>
    <x v="12"/>
    <s v="Sitting Fee paid"/>
    <x v="12"/>
    <n v="0.3"/>
    <n v="0.35"/>
    <n v="2.2200000000000002"/>
    <n v="2.81"/>
    <n v="0.5"/>
    <n v="0.2"/>
    <n v="0.45"/>
    <n v="1.9750000000000001"/>
    <n v="0.5"/>
    <n v="0.64500000000000002"/>
    <n v="2.02"/>
    <n v="2.66"/>
    <n v="14.63"/>
    <n v="1463000"/>
    <n v="0.4"/>
    <n v="40000"/>
    <x v="0"/>
  </r>
  <r>
    <x v="75"/>
    <x v="0"/>
    <x v="1"/>
    <x v="2"/>
    <x v="14"/>
    <s v="CONSULTANCY CHARGES"/>
    <s v="CONSULTATION &amp; PROF. FEE DOCTORS"/>
    <x v="0"/>
    <x v="9"/>
    <s v="Consultation &amp; Professional Fee Doctors"/>
    <x v="9"/>
    <n v="411.95049999999998"/>
    <n v="422.80097000000001"/>
    <n v="419.50367"/>
    <n v="431.93346000000003"/>
    <n v="437.45436999999998"/>
    <n v="431.78865999999999"/>
    <n v="444.30619999999999"/>
    <n v="441.86088000000001"/>
    <n v="451.71872999999999"/>
    <n v="444.0881"/>
    <n v="446.36444999999998"/>
    <n v="470.50017000000003"/>
    <n v="5254.2701699999998"/>
    <n v="525427017"/>
    <n v="468.28768000000002"/>
    <n v="47304507"/>
    <x v="0"/>
  </r>
  <r>
    <x v="76"/>
    <x v="0"/>
    <x v="1"/>
    <x v="2"/>
    <x v="14"/>
    <s v="CONSULTANCY CHARGES"/>
    <s v="CONSULTATION&amp; PROF.FEE LHRC SHARE"/>
    <x v="0"/>
    <x v="9"/>
    <s v="Consultation &amp;Professional Fee-LHRC Share"/>
    <x v="9"/>
    <n v="83.439899999999994"/>
    <n v="80.328990000000005"/>
    <n v="85.524360000000001"/>
    <n v="117.97172"/>
    <n v="115.15585"/>
    <n v="113.63072"/>
    <n v="110.32702999999999"/>
    <n v="102.13404"/>
    <n v="107.54534"/>
    <n v="133.78639000000001"/>
    <n v="114.86288999999999"/>
    <n v="110.86288999999999"/>
    <n v="1275.5700899999999"/>
    <n v="115559884.23"/>
    <n v="124.00185999999999"/>
    <n v="9917945"/>
    <x v="0"/>
  </r>
  <r>
    <x v="77"/>
    <x v="0"/>
    <x v="1"/>
    <x v="2"/>
    <x v="14"/>
    <s v="CONSULTANCY CHARGES"/>
    <s v="CONSULTAION&amp;PROF.FEE VISIT DOCTORS"/>
    <x v="0"/>
    <x v="9"/>
    <s v="Consultation &amp; Professional Fee-Visiting Doc"/>
    <x v="9"/>
    <n v="64.720600000000005"/>
    <n v="59.550089999999997"/>
    <n v="41.850540000000002"/>
    <n v="65.869380000000007"/>
    <n v="58.784129999999998"/>
    <n v="67.630679999999998"/>
    <n v="43.93788"/>
    <n v="57.635100000000001"/>
    <n v="55.903289999999998"/>
    <n v="54.421979999999998"/>
    <n v="55.619869999999999"/>
    <n v="50"/>
    <n v="675.92350999999996"/>
    <n v="65157301"/>
    <n v="55.72804"/>
    <n v="5052625"/>
    <x v="0"/>
  </r>
  <r>
    <x v="78"/>
    <x v="0"/>
    <x v="1"/>
    <x v="2"/>
    <x v="14"/>
    <s v="LAUNDRY,SANITA.&amp; HOUSEKEEPING EXP"/>
    <s v="LAUNDRY,SANITA.&amp; HOUSEKEEPING EXP"/>
    <x v="0"/>
    <x v="13"/>
    <s v="House Keeping"/>
    <x v="13"/>
    <n v="59.319299999999998"/>
    <n v="59.746861699999997"/>
    <n v="59.319254999999998"/>
    <n v="60.358008400000003"/>
    <n v="57.801864600000002"/>
    <n v="52.676519300000002"/>
    <n v="74.080778800000004"/>
    <n v="51.119146399999998"/>
    <n v="54.427806099999998"/>
    <n v="30.4773605"/>
    <n v="103.8918563"/>
    <n v="152.53380609999999"/>
    <n v="815.75251820000005"/>
    <n v="81990664.069999993"/>
    <n v="71.1100371"/>
    <n v="10148399.030000001"/>
    <x v="0"/>
  </r>
  <r>
    <x v="79"/>
    <x v="0"/>
    <x v="1"/>
    <x v="2"/>
    <x v="14"/>
    <s v="LAUNDRY,SANITA.&amp; HOUSEKEEPING EXP"/>
    <s v="LAUNDRY,SANITA.&amp; HOUSEKEEPING EXP"/>
    <x v="0"/>
    <x v="13"/>
    <s v="Laundry expense"/>
    <x v="13"/>
    <n v="3.8439999999999999"/>
    <n v="7.6273200000000001"/>
    <n v="7.6880499999999996"/>
    <n v="8.0050000000000008"/>
    <n v="5.66669"/>
    <n v="12.7189"/>
    <n v="5.2173600000000002"/>
    <n v="8.0227799999999991"/>
    <n v="6.38985"/>
    <n v="10.396879999999999"/>
    <n v="8.3500525000000003"/>
    <n v="18.341638199999998"/>
    <n v="102.2685457"/>
    <n v="10611257.07"/>
    <n v="10.179069999999999"/>
    <n v="873319"/>
    <x v="0"/>
  </r>
  <r>
    <x v="80"/>
    <x v="0"/>
    <x v="1"/>
    <x v="2"/>
    <x v="14"/>
    <s v="LAUNDRY,SANITA.&amp; HOUSEKEEPING EXP"/>
    <s v="LAUNDRY,SANITA.&amp; HOUSEKEEPING EXP"/>
    <x v="0"/>
    <x v="13"/>
    <s v="House Keeping"/>
    <x v="13"/>
    <n v="0.43"/>
    <n v="1.59616"/>
    <n v="9.1302299999999992"/>
    <n v="2.7279100000000001"/>
    <n v="1.1620299999999999"/>
    <n v="7.0175599999999996"/>
    <n v="6.0393340000000002"/>
    <n v="1.2379599999999999"/>
    <n v="4.2854700000000001"/>
    <n v="4.9672999999999998"/>
    <n v="5.8148499999999999"/>
    <n v="9.0530342000000008"/>
    <n v="53.461838200000003"/>
    <n v="5346183.82"/>
    <n v="4.8640999999999996"/>
    <n v="90621"/>
    <x v="0"/>
  </r>
  <r>
    <x v="81"/>
    <x v="0"/>
    <x v="1"/>
    <x v="2"/>
    <x v="14"/>
    <s v="LAB TEST CHARGES"/>
    <s v="LAB TEST CHARGES"/>
    <x v="0"/>
    <x v="14"/>
    <s v="Lab Test Charges"/>
    <x v="14"/>
    <n v="16.7804"/>
    <n v="18.60999"/>
    <n v="21.432259999999999"/>
    <n v="18.371490000000001"/>
    <n v="26.54288"/>
    <n v="16.769259999999999"/>
    <n v="22.784310000000001"/>
    <n v="9.2188800000000004"/>
    <n v="37.617130000000003"/>
    <n v="30.036409200000001"/>
    <n v="27.38476"/>
    <n v="22.105910000000002"/>
    <n v="267.65364920000002"/>
    <n v="26395220.920000002"/>
    <n v="24.08023"/>
    <n v="2950202"/>
    <x v="0"/>
  </r>
  <r>
    <x v="82"/>
    <x v="0"/>
    <x v="1"/>
    <x v="2"/>
    <x v="14"/>
    <s v="RENT"/>
    <s v="RENT"/>
    <x v="0"/>
    <x v="15"/>
    <s v="Rent Paid"/>
    <x v="15"/>
    <n v="1.0172000000000001"/>
    <n v="0.91066000000000003"/>
    <n v="0.82965999999999995"/>
    <n v="1.2004600000000001"/>
    <n v="1.97258"/>
    <n v="1.3218300000000001"/>
    <n v="1.45218"/>
    <n v="1.3643000000000001"/>
    <n v="0.84023999999999999"/>
    <n v="1.00163"/>
    <n v="0.70487"/>
    <n v="1.1399999999999999"/>
    <n v="13.755660000000001"/>
    <n v="1304246"/>
    <n v="0.87953000000000003"/>
    <n v="127629"/>
    <x v="0"/>
  </r>
  <r>
    <x v="83"/>
    <x v="0"/>
    <x v="1"/>
    <x v="2"/>
    <x v="14"/>
    <s v="RENT"/>
    <s v="RENT"/>
    <x v="0"/>
    <x v="15"/>
    <s v="Rent Paid"/>
    <x v="15"/>
    <n v="1.5279"/>
    <n v="2.6094400000000002"/>
    <n v="2.6094400000000002"/>
    <n v="3.7928000000000002"/>
    <n v="1.6192599999999999"/>
    <n v="2.3126099999999998"/>
    <n v="0.75083999999999995"/>
    <n v="1.20614"/>
    <n v="2.1033200000000001"/>
    <n v="1.66306"/>
    <n v="2.6745100000000002"/>
    <n v="6.7069879999999999"/>
    <n v="29.576277999999999"/>
    <n v="2957627.8"/>
    <n v="1.8248599999999999"/>
    <n v="203707"/>
    <x v="0"/>
  </r>
  <r>
    <x v="84"/>
    <x v="0"/>
    <x v="1"/>
    <x v="2"/>
    <x v="14"/>
    <s v="RENT"/>
    <s v="RENT"/>
    <x v="0"/>
    <x v="15"/>
    <s v="Rent Paid"/>
    <x v="15"/>
    <n v="10.895300000000001"/>
    <n v="8.6273499999999999"/>
    <n v="10.89527"/>
    <n v="2.63367"/>
    <n v="13.625679999999999"/>
    <n v="13.46557"/>
    <n v="9.0868300000000009"/>
    <n v="7.2695400000000001"/>
    <n v="11.60506"/>
    <n v="9.62622"/>
    <n v="9.0167000000000002"/>
    <n v="12.776802399999999"/>
    <n v="119.5239624"/>
    <n v="11952396.24"/>
    <n v="8.0837167999999995"/>
    <n v="970490"/>
    <x v="0"/>
  </r>
  <r>
    <x v="85"/>
    <x v="0"/>
    <x v="1"/>
    <x v="2"/>
    <x v="14"/>
    <s v="REPAIRS"/>
    <s v="BUILDING"/>
    <x v="0"/>
    <x v="16"/>
    <s v="Repairs-Building"/>
    <x v="16"/>
    <n v="4.8353000000000002"/>
    <n v="2.1032937"/>
    <n v="6.4998296"/>
    <n v="3.8490817000000002"/>
    <n v="8.6635945999999997"/>
    <n v="7.106223"/>
    <n v="27.506993999999999"/>
    <n v="2.8910083000000002"/>
    <n v="5.1071637000000001"/>
    <n v="2.6285219999999998"/>
    <n v="6.2080964999999999"/>
    <n v="2.4028396000000001"/>
    <n v="79.801986499999998"/>
    <n v="7980198.6500000004"/>
    <n v="4.7962981999999998"/>
    <n v="258920.39"/>
    <x v="0"/>
  </r>
  <r>
    <x v="86"/>
    <x v="0"/>
    <x v="1"/>
    <x v="2"/>
    <x v="14"/>
    <s v="REPAIRS"/>
    <s v="BUILDING"/>
    <x v="0"/>
    <x v="16"/>
    <s v="Repairs-Building"/>
    <x v="16"/>
    <n v="0"/>
    <n v="0.16875000000000001"/>
    <n v="3.7179999999999998E-2"/>
    <n v="0"/>
    <n v="0.15125"/>
    <n v="0"/>
    <n v="0"/>
    <n v="0"/>
    <n v="0.2175"/>
    <n v="0"/>
    <n v="0"/>
    <n v="0.1305924"/>
    <n v="0.70527240000000002"/>
    <n v="70527.240000000005"/>
    <n v="0"/>
    <n v="0"/>
    <x v="0"/>
  </r>
  <r>
    <x v="87"/>
    <x v="0"/>
    <x v="1"/>
    <x v="2"/>
    <x v="14"/>
    <s v="REPAIRS"/>
    <s v="BUILDING"/>
    <x v="0"/>
    <x v="16"/>
    <s v="Repairs-Building"/>
    <x v="16"/>
    <n v="0.57150000000000001"/>
    <n v="1.0357499999999999"/>
    <n v="0.88814000000000004"/>
    <n v="1.0295000000000001"/>
    <n v="1.17638"/>
    <n v="1.2098800000000001"/>
    <n v="1.5113799999999999"/>
    <n v="0.7298"/>
    <n v="0.63400000000000001"/>
    <n v="0.96945000000000003"/>
    <n v="0.29099999999999998"/>
    <n v="0.63959999999999995"/>
    <n v="10.68638"/>
    <n v="1068638"/>
    <n v="0.73299999999999998"/>
    <n v="117250"/>
    <x v="0"/>
  </r>
  <r>
    <x v="88"/>
    <x v="0"/>
    <x v="1"/>
    <x v="2"/>
    <x v="14"/>
    <s v="REPAIRS"/>
    <s v="BUILDING"/>
    <x v="0"/>
    <x v="16"/>
    <s v="Repairs-Building"/>
    <x v="16"/>
    <n v="1.2927999999999999"/>
    <n v="0.8125"/>
    <n v="1.29975"/>
    <n v="0.63149999999999995"/>
    <n v="1.8240000000000001"/>
    <n v="1.1387499999999999"/>
    <n v="0.98799999999999999"/>
    <n v="1.8956299999999999"/>
    <n v="1.44313"/>
    <n v="1.4937499999999999"/>
    <n v="1.96715"/>
    <n v="1.4047499999999999"/>
    <n v="16.191669999999998"/>
    <n v="1619167"/>
    <n v="1.46075"/>
    <n v="128650"/>
    <x v="0"/>
  </r>
  <r>
    <x v="89"/>
    <x v="0"/>
    <x v="1"/>
    <x v="2"/>
    <x v="14"/>
    <s v="REPAIRS"/>
    <s v="MACHINERY"/>
    <x v="0"/>
    <x v="16"/>
    <s v="Repair to Medical Equipment"/>
    <x v="16"/>
    <n v="46.533499999999997"/>
    <n v="46.182951299999999"/>
    <n v="84.953925100000006"/>
    <n v="79.958248800000007"/>
    <n v="75.379760000000005"/>
    <n v="116.80040529999999"/>
    <n v="81.550600500000002"/>
    <n v="66.836918299999994"/>
    <n v="64.571971500000004"/>
    <n v="49.633629800000001"/>
    <n v="148.47196959999999"/>
    <n v="96.023960000000002"/>
    <n v="956.89787890000002"/>
    <n v="95689787.890000001"/>
    <n v="81.874520399999994"/>
    <n v="2354804"/>
    <x v="0"/>
  </r>
  <r>
    <x v="90"/>
    <x v="0"/>
    <x v="1"/>
    <x v="2"/>
    <x v="14"/>
    <s v="REPAIRS"/>
    <s v="MACHINERY"/>
    <x v="0"/>
    <x v="16"/>
    <s v="Repair to Other Equipment"/>
    <x v="16"/>
    <n v="1.9308000000000001"/>
    <n v="9.6612059000000006"/>
    <n v="4.5065499999999998"/>
    <n v="5.2475358999999999"/>
    <n v="1.70333"/>
    <n v="2.6309418999999998"/>
    <n v="6.9208800999999998"/>
    <n v="2.2250999"/>
    <n v="2.3673500000000001"/>
    <n v="3.3798376000000001"/>
    <n v="4.2019199"/>
    <n v="6.8108098000000004"/>
    <n v="51.586260500000002"/>
    <n v="5158626.05"/>
    <n v="3.2926449999999998"/>
    <n v="358942.88"/>
    <x v="0"/>
  </r>
  <r>
    <x v="91"/>
    <x v="0"/>
    <x v="1"/>
    <x v="2"/>
    <x v="14"/>
    <s v="REPAIRS"/>
    <s v="EQUIPMENTS"/>
    <x v="0"/>
    <x v="16"/>
    <s v="Repair to Other Equipment"/>
    <x v="16"/>
    <n v="6.1463000000000001"/>
    <n v="7.6080591999999996"/>
    <n v="11.629759999999999"/>
    <n v="16.979895200000001"/>
    <n v="10.5600822"/>
    <n v="5.0605712"/>
    <n v="11.6689186"/>
    <n v="32.3674404"/>
    <n v="10.865071"/>
    <n v="13.584732900000001"/>
    <n v="10.624492099999999"/>
    <n v="26.913311700000001"/>
    <n v="164.00864419999999"/>
    <n v="16400864.42"/>
    <n v="8.5000243999999991"/>
    <n v="349819.99"/>
    <x v="0"/>
  </r>
  <r>
    <x v="92"/>
    <x v="0"/>
    <x v="1"/>
    <x v="2"/>
    <x v="14"/>
    <s v="REPAIRS"/>
    <s v="EQUIPMENTS"/>
    <x v="0"/>
    <x v="16"/>
    <s v="Repair to Medical Equipment"/>
    <x v="16"/>
    <n v="0.30109999999999998"/>
    <n v="0"/>
    <n v="9.7000000000000003E-2"/>
    <n v="0"/>
    <n v="0.57637000000000005"/>
    <n v="0"/>
    <n v="0"/>
    <n v="0"/>
    <n v="0.29469000000000001"/>
    <n v="0"/>
    <n v="1.2441441"/>
    <n v="0.1212"/>
    <n v="2.6344816999999998"/>
    <n v="263448.17"/>
    <n v="0"/>
    <n v="0"/>
    <x v="0"/>
  </r>
  <r>
    <x v="93"/>
    <x v="0"/>
    <x v="1"/>
    <x v="2"/>
    <x v="14"/>
    <s v="REPAIRS"/>
    <s v="OTHERS"/>
    <x v="0"/>
    <x v="16"/>
    <s v="Repair to Computers"/>
    <x v="16"/>
    <n v="0"/>
    <n v="0.33"/>
    <n v="9.4999999999999998E-3"/>
    <n v="0"/>
    <n v="0.32050000000000001"/>
    <n v="0"/>
    <n v="0"/>
    <n v="0"/>
    <n v="0.379"/>
    <n v="0"/>
    <n v="0"/>
    <n v="0.84858999999999996"/>
    <n v="1.8875900000000001"/>
    <n v="188759"/>
    <n v="0"/>
    <n v="0"/>
    <x v="0"/>
  </r>
  <r>
    <x v="94"/>
    <x v="0"/>
    <x v="1"/>
    <x v="2"/>
    <x v="14"/>
    <s v="REPAIRS"/>
    <s v="OTHERS"/>
    <x v="0"/>
    <x v="16"/>
    <s v="Repair to Electrical Installations"/>
    <x v="16"/>
    <n v="1.1906000000000001"/>
    <n v="3.0612195"/>
    <n v="0.58168889999999995"/>
    <n v="5.0521924"/>
    <n v="1.7244501000000001"/>
    <n v="0.695299"/>
    <n v="3.0054251000000001"/>
    <n v="1.6144499999999999"/>
    <n v="0.17757999999999999"/>
    <n v="0.20754"/>
    <n v="1.1613913"/>
    <n v="0.93063940000000001"/>
    <n v="19.4024438"/>
    <n v="1940244.38"/>
    <n v="0"/>
    <n v="0"/>
    <x v="0"/>
  </r>
  <r>
    <x v="95"/>
    <x v="0"/>
    <x v="1"/>
    <x v="2"/>
    <x v="14"/>
    <s v="REPAIRS"/>
    <s v="OTHERS"/>
    <x v="0"/>
    <x v="16"/>
    <s v="Repair to Furniture and Fixtures"/>
    <x v="16"/>
    <n v="0"/>
    <n v="0"/>
    <n v="0"/>
    <n v="0"/>
    <n v="0"/>
    <n v="0"/>
    <n v="0"/>
    <n v="0"/>
    <n v="0.23330000000000001"/>
    <n v="0"/>
    <n v="0"/>
    <n v="0"/>
    <n v="0.23330000000000001"/>
    <n v="23330"/>
    <n v="0"/>
    <n v="0"/>
    <x v="0"/>
  </r>
  <r>
    <x v="96"/>
    <x v="0"/>
    <x v="1"/>
    <x v="2"/>
    <x v="14"/>
    <s v="REPAIRS"/>
    <s v="OTHERS"/>
    <x v="0"/>
    <x v="16"/>
    <s v="Repair to Vehicles"/>
    <x v="16"/>
    <n v="0.26079999999999998"/>
    <n v="0.37378640000000002"/>
    <n v="0.66045209999999999"/>
    <n v="0.53015000000000001"/>
    <n v="0.33563999999999999"/>
    <n v="1.0680700000000001"/>
    <n v="1.05983"/>
    <n v="0.62058000000000002"/>
    <n v="0.86493120000000001"/>
    <n v="1.0484100000000001"/>
    <n v="0.18422279999999999"/>
    <n v="1.0441414"/>
    <n v="8.0509920000000008"/>
    <n v="805099.2"/>
    <n v="0.15153220000000001"/>
    <n v="46778"/>
    <x v="0"/>
  </r>
  <r>
    <x v="97"/>
    <x v="0"/>
    <x v="1"/>
    <x v="2"/>
    <x v="14"/>
    <s v="REPAIRS"/>
    <s v="OTHERS"/>
    <x v="0"/>
    <x v="16"/>
    <s v="Repair to Other Equipment"/>
    <x v="16"/>
    <n v="0.92249999999999999"/>
    <n v="8.6823636999999998"/>
    <n v="2.5198185"/>
    <n v="1.7914953"/>
    <n v="8.7478596999999993"/>
    <n v="6.0946357999999998"/>
    <n v="15.183548800000001"/>
    <n v="4.8272810000000002"/>
    <n v="3.4094799999999998"/>
    <n v="2.5027300000000001"/>
    <n v="5.1616007000000002"/>
    <n v="30.842382199999999"/>
    <n v="90.685663399999996"/>
    <n v="9068566.3399999999"/>
    <n v="0.75356999999999996"/>
    <n v="224943"/>
    <x v="0"/>
  </r>
  <r>
    <x v="98"/>
    <x v="0"/>
    <x v="1"/>
    <x v="2"/>
    <x v="14"/>
    <s v="REPAIRS"/>
    <s v="OTHERS"/>
    <x v="0"/>
    <x v="16"/>
    <s v="Repair to Other Equipment"/>
    <x v="16"/>
    <n v="0"/>
    <n v="0"/>
    <n v="0"/>
    <n v="0"/>
    <n v="6.7850000000000001"/>
    <n v="0"/>
    <n v="0"/>
    <n v="0"/>
    <n v="0"/>
    <n v="0"/>
    <n v="0"/>
    <n v="0"/>
    <n v="6.7850000000000001"/>
    <n v="678500"/>
    <n v="0"/>
    <n v="0"/>
    <x v="0"/>
  </r>
  <r>
    <x v="99"/>
    <x v="0"/>
    <x v="1"/>
    <x v="2"/>
    <x v="14"/>
    <s v="REPAIRS"/>
    <s v="OTHERS"/>
    <x v="0"/>
    <x v="16"/>
    <s v="Repair to Computers"/>
    <x v="16"/>
    <n v="0.34839999999999999"/>
    <n v="1.7688705"/>
    <n v="2.2446942000000001"/>
    <n v="2.1556299999999999"/>
    <n v="8.8328399999999991"/>
    <n v="4.1353666999999996"/>
    <n v="2.3465752000000002"/>
    <n v="6.3650067000000004"/>
    <n v="1.4448293999999999"/>
    <n v="4.6402492999999998"/>
    <n v="2.0507857"/>
    <n v="6.9209038999999999"/>
    <n v="43.254126399999997"/>
    <n v="4325412.6399999997"/>
    <n v="2.4483085"/>
    <n v="180910"/>
    <x v="0"/>
  </r>
  <r>
    <x v="100"/>
    <x v="0"/>
    <x v="1"/>
    <x v="2"/>
    <x v="14"/>
    <s v="INSURANCE"/>
    <s v="INSURANCE"/>
    <x v="0"/>
    <x v="17"/>
    <s v="Insurance for Building"/>
    <x v="1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1"/>
    <x v="0"/>
    <x v="1"/>
    <x v="2"/>
    <x v="14"/>
    <s v="INSURANCE"/>
    <s v="INSURANCE"/>
    <x v="0"/>
    <x v="17"/>
    <s v="Insurance for Lift"/>
    <x v="17"/>
    <n v="2.0000000000000001E-4"/>
    <n v="0"/>
    <n v="0"/>
    <n v="0"/>
    <n v="0"/>
    <n v="0"/>
    <n v="0"/>
    <n v="0"/>
    <n v="0"/>
    <n v="0"/>
    <n v="0"/>
    <n v="0"/>
    <n v="2.2000000000000001E-4"/>
    <n v="22"/>
    <n v="0"/>
    <n v="2000"/>
    <x v="0"/>
  </r>
  <r>
    <x v="102"/>
    <x v="0"/>
    <x v="1"/>
    <x v="2"/>
    <x v="14"/>
    <s v="INSURANCE"/>
    <s v="INSURANCE"/>
    <x v="0"/>
    <x v="17"/>
    <s v="Insurance for Others"/>
    <x v="17"/>
    <n v="2.0413000000000001"/>
    <n v="1.7469333"/>
    <n v="1.6677637999999999"/>
    <n v="1.72336"/>
    <n v="2.50915"/>
    <n v="2.5032640000000002"/>
    <n v="0.13930919999999999"/>
    <n v="2.6665847999999999"/>
    <n v="2.9864714000000001"/>
    <n v="2.9883571999999998"/>
    <n v="2.6991613000000001"/>
    <n v="2.9847188"/>
    <n v="26.6563838"/>
    <n v="2665638.38"/>
    <n v="2.8413992000000001"/>
    <n v="0"/>
    <x v="0"/>
  </r>
  <r>
    <x v="103"/>
    <x v="0"/>
    <x v="1"/>
    <x v="2"/>
    <x v="14"/>
    <s v="INSURANCE"/>
    <s v="INSURANCE"/>
    <x v="0"/>
    <x v="17"/>
    <s v="Insurance for Vehicle"/>
    <x v="17"/>
    <n v="9.1300000000000006E-2"/>
    <n v="0.63674819999999999"/>
    <n v="0.1179886"/>
    <n v="0.12125"/>
    <n v="0.12167"/>
    <n v="0.1161623"/>
    <n v="2.5228704999999998"/>
    <n v="0.2124297"/>
    <n v="0.1202826"/>
    <n v="0.1202583"/>
    <n v="0.11036940000000001"/>
    <n v="0.12926889999999999"/>
    <n v="4.4205750999999998"/>
    <n v="442057.51"/>
    <n v="0.11577659999999999"/>
    <n v="2498"/>
    <x v="0"/>
  </r>
  <r>
    <x v="104"/>
    <x v="0"/>
    <x v="1"/>
    <x v="2"/>
    <x v="14"/>
    <s v="RATES &amp; TAXES"/>
    <s v="RATES &amp; TAXES"/>
    <x v="0"/>
    <x v="18"/>
    <s v="Rates &amp; taxes"/>
    <x v="18"/>
    <n v="6.1000000000000004E-3"/>
    <n v="0"/>
    <n v="0"/>
    <n v="0"/>
    <n v="6.1199999999999996E-3"/>
    <n v="0"/>
    <n v="0"/>
    <n v="0"/>
    <n v="0"/>
    <n v="0"/>
    <n v="0"/>
    <n v="0"/>
    <n v="1.222E-2"/>
    <n v="1222"/>
    <n v="0"/>
    <n v="0"/>
    <x v="0"/>
  </r>
  <r>
    <x v="105"/>
    <x v="0"/>
    <x v="1"/>
    <x v="2"/>
    <x v="14"/>
    <s v="RATES &amp; TAXES"/>
    <s v="RATES &amp; TAXES"/>
    <x v="0"/>
    <x v="18"/>
    <s v="Rates &amp; taxes"/>
    <x v="18"/>
    <n v="0.94589999999999996"/>
    <n v="0.97739100000000001"/>
    <n v="5.0387259999999996"/>
    <n v="5.6982799999999996"/>
    <n v="0.97935000000000005"/>
    <n v="0.97672599999999998"/>
    <n v="0.97828360000000003"/>
    <n v="0.94672599999999996"/>
    <n v="0.97828360000000003"/>
    <n v="0.99828360000000005"/>
    <n v="2.0935229999999998"/>
    <n v="1.7382835999999999"/>
    <n v="22.349718599999999"/>
    <n v="2234971.86"/>
    <n v="0.91642210000000002"/>
    <n v="0"/>
    <x v="0"/>
  </r>
  <r>
    <x v="106"/>
    <x v="0"/>
    <x v="1"/>
    <x v="2"/>
    <x v="14"/>
    <s v="RATES &amp; TAXES"/>
    <s v="RATES &amp; TAXES"/>
    <x v="0"/>
    <x v="18"/>
    <s v="Rates &amp; taxes"/>
    <x v="18"/>
    <n v="2.3982999999999999"/>
    <n v="4.8741649999999996"/>
    <n v="-0.75312999999999997"/>
    <n v="0.35987999999999998"/>
    <n v="1.996675"/>
    <n v="0.57647000000000004"/>
    <n v="0.39011499999999999"/>
    <n v="0.68691250000000004"/>
    <n v="1.1959348999999999"/>
    <n v="2.0736648999999998"/>
    <n v="0.51783500000000005"/>
    <n v="1.2862100000000001"/>
    <n v="15.6030073"/>
    <n v="1560300.73"/>
    <n v="0.14157500000000001"/>
    <n v="13025"/>
    <x v="0"/>
  </r>
  <r>
    <x v="107"/>
    <x v="0"/>
    <x v="1"/>
    <x v="2"/>
    <x v="14"/>
    <s v="PAYMENTS TO AUDITORS"/>
    <s v="AUDIT EXPENSES"/>
    <x v="0"/>
    <x v="12"/>
    <s v="IA and other audit"/>
    <x v="12"/>
    <n v="0"/>
    <n v="0"/>
    <n v="0"/>
    <n v="0"/>
    <n v="0"/>
    <n v="0"/>
    <n v="0"/>
    <n v="0.22700000000000001"/>
    <n v="0"/>
    <n v="0"/>
    <n v="23.741669999999999"/>
    <n v="-14.30167"/>
    <n v="9.6669999999999998"/>
    <n v="966700"/>
    <n v="0"/>
    <n v="0"/>
    <x v="0"/>
  </r>
  <r>
    <x v="108"/>
    <x v="0"/>
    <x v="1"/>
    <x v="2"/>
    <x v="14"/>
    <s v="PAYMENTS TO AUDITORS"/>
    <s v="AUDIT EXPENSES"/>
    <x v="0"/>
    <x v="12"/>
    <s v="IA and other audit"/>
    <x v="12"/>
    <n v="0"/>
    <n v="0.8"/>
    <n v="0"/>
    <n v="1.5060199999999999"/>
    <n v="0"/>
    <n v="0"/>
    <n v="0"/>
    <n v="3.5"/>
    <n v="0"/>
    <n v="0"/>
    <n v="0"/>
    <n v="2.3395953"/>
    <n v="8.1456152999999993"/>
    <n v="814561.53"/>
    <n v="0"/>
    <n v="0"/>
    <x v="0"/>
  </r>
  <r>
    <x v="109"/>
    <x v="0"/>
    <x v="1"/>
    <x v="2"/>
    <x v="14"/>
    <s v="EXPENDITURE ON RESEARCH ACTIVITIES"/>
    <s v="EXPENDITURE FOR CLINICAL STUDY"/>
    <x v="0"/>
    <x v="7"/>
    <s v="Others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0"/>
    <x v="0"/>
    <x v="1"/>
    <x v="2"/>
    <x v="14"/>
    <s v="EXPENDITURE ON RESEARCH ACTIVITIES"/>
    <s v="EXPENDITURE FOR CLINICAL STUDY"/>
    <x v="0"/>
    <x v="7"/>
    <s v="Others"/>
    <x v="7"/>
    <n v="-0.34129999999999999"/>
    <n v="-0.27123000000000003"/>
    <n v="0.1822"/>
    <n v="0.7"/>
    <n v="0"/>
    <n v="0"/>
    <n v="0"/>
    <n v="0"/>
    <n v="0"/>
    <n v="0.40500000000000003"/>
    <n v="0"/>
    <n v="0"/>
    <n v="0.67464120000000005"/>
    <n v="67464.12"/>
    <n v="0"/>
    <n v="0"/>
    <x v="0"/>
  </r>
  <r>
    <x v="111"/>
    <x v="0"/>
    <x v="1"/>
    <x v="2"/>
    <x v="14"/>
    <s v="EXPENDITURE ON RESEARCH ACTIVITIES"/>
    <s v="EXPENDITURE FOR CLINICAL STUDY"/>
    <x v="0"/>
    <x v="7"/>
    <s v="Others"/>
    <x v="7"/>
    <n v="0"/>
    <n v="0.4"/>
    <n v="0.65"/>
    <n v="0"/>
    <n v="0.5"/>
    <n v="0"/>
    <n v="0"/>
    <n v="0.5"/>
    <n v="0"/>
    <n v="0.45"/>
    <n v="0.55000000000000004"/>
    <n v="0"/>
    <n v="3.05"/>
    <n v="305000"/>
    <n v="0"/>
    <n v="55000"/>
    <x v="0"/>
  </r>
  <r>
    <x v="112"/>
    <x v="0"/>
    <x v="1"/>
    <x v="2"/>
    <x v="14"/>
    <s v="LOSS ON FIXED ASSETS SOLD"/>
    <s v="LOSS ON DISCARDING ASSETS"/>
    <x v="0"/>
    <x v="7"/>
    <s v="Others"/>
    <x v="7"/>
    <n v="0"/>
    <n v="0"/>
    <n v="0"/>
    <n v="0"/>
    <n v="0"/>
    <n v="0"/>
    <n v="0"/>
    <n v="0"/>
    <n v="0"/>
    <n v="0"/>
    <n v="0"/>
    <n v="2.11389"/>
    <n v="2.11389"/>
    <n v="211389"/>
    <n v="0"/>
    <n v="0"/>
    <x v="0"/>
  </r>
  <r>
    <x v="113"/>
    <x v="0"/>
    <x v="1"/>
    <x v="2"/>
    <x v="14"/>
    <s v="MISCELLANEOUS EXPENSES"/>
    <s v="MISCELLANEOUS EXPENSES"/>
    <x v="0"/>
    <x v="7"/>
    <s v="Affiliation Fee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4"/>
    <x v="0"/>
    <x v="1"/>
    <x v="2"/>
    <x v="14"/>
    <s v="MISCELLANEOUS EXPENSES"/>
    <s v="MISCELLANEOUS EXPENSES"/>
    <x v="0"/>
    <x v="7"/>
    <s v="Books &amp; Periodicals"/>
    <x v="7"/>
    <n v="0"/>
    <n v="0"/>
    <n v="0.67906849999999996"/>
    <n v="0.70169999999999999"/>
    <n v="0.71138999999999997"/>
    <n v="0"/>
    <n v="1.4307700000000001"/>
    <n v="15.077170000000001"/>
    <n v="1.6169522000000001"/>
    <n v="0.17114219999999999"/>
    <n v="0.15458"/>
    <n v="0.3812815"/>
    <n v="20.924054399999999"/>
    <n v="2092405.44"/>
    <n v="0"/>
    <n v="0"/>
    <x v="0"/>
  </r>
  <r>
    <x v="115"/>
    <x v="0"/>
    <x v="1"/>
    <x v="2"/>
    <x v="14"/>
    <s v="MISCELLANEOUS EXPENSES"/>
    <s v="MISCELLANEOUS EXPENSES"/>
    <x v="0"/>
    <x v="7"/>
    <s v="Business Relations Expenses"/>
    <x v="7"/>
    <n v="0"/>
    <n v="0.73952629999999997"/>
    <n v="0"/>
    <n v="2.0551889999999999"/>
    <n v="1.0917707000000001"/>
    <n v="1.1724292999999999"/>
    <n v="0"/>
    <n v="1.5026335"/>
    <n v="3.6003091"/>
    <n v="2.1705660999999998"/>
    <n v="0"/>
    <n v="0.91060459999999999"/>
    <n v="13.243028600000001"/>
    <n v="1324302.8600000001"/>
    <n v="0"/>
    <n v="0"/>
    <x v="0"/>
  </r>
  <r>
    <x v="116"/>
    <x v="0"/>
    <x v="1"/>
    <x v="2"/>
    <x v="14"/>
    <s v="MISCELLANEOUS EXPENSES"/>
    <s v="MISCELLANEOUS EXPENSES"/>
    <x v="0"/>
    <x v="19"/>
    <s v="Quality &amp; Infection control expense"/>
    <x v="19"/>
    <n v="0"/>
    <n v="0"/>
    <n v="0"/>
    <n v="0"/>
    <n v="8.4000000000000005E-2"/>
    <n v="0.48"/>
    <n v="0.41760000000000003"/>
    <n v="0.35399999999999998"/>
    <n v="0.88136000000000003"/>
    <n v="0.63400000000000001"/>
    <n v="4.9599999999999998E-2"/>
    <n v="2.5694279999999998"/>
    <n v="5.4699879999999999"/>
    <n v="546998.80000000005"/>
    <n v="0"/>
    <n v="0"/>
    <x v="0"/>
  </r>
  <r>
    <x v="117"/>
    <x v="0"/>
    <x v="1"/>
    <x v="2"/>
    <x v="14"/>
    <s v="MISCELLANEOUS EXPENSES"/>
    <s v="MISCELLANEOUS EXPENSES"/>
    <x v="0"/>
    <x v="20"/>
    <s v="Provission for Bad Debts"/>
    <x v="2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8"/>
    <x v="0"/>
    <x v="1"/>
    <x v="2"/>
    <x v="14"/>
    <s v="MISCELLANEOUS EXPENSES"/>
    <s v="MISCELLANEOUS EXPENSES"/>
    <x v="0"/>
    <x v="7"/>
    <s v="Others"/>
    <x v="7"/>
    <n v="1.2301"/>
    <n v="6.2920000000000004E-2"/>
    <n v="0.11967999999999999"/>
    <n v="0.85685"/>
    <n v="0.185"/>
    <n v="6.4549999999999996E-2"/>
    <n v="0.11692"/>
    <n v="0.23300000000000001"/>
    <n v="1.17238"/>
    <n v="0.91974999999999996"/>
    <n v="5.4330000000000003E-2"/>
    <n v="2.9756999999999998"/>
    <n v="7.9911799999999999"/>
    <n v="799118"/>
    <n v="1.414E-2"/>
    <n v="91062"/>
    <x v="0"/>
  </r>
  <r>
    <x v="119"/>
    <x v="0"/>
    <x v="1"/>
    <x v="2"/>
    <x v="14"/>
    <s v="MISCELLANEOUS EXPENSES"/>
    <s v="MISCELLANEOUS EXPENSES"/>
    <x v="0"/>
    <x v="19"/>
    <s v="Quality &amp; Infection control expense"/>
    <x v="19"/>
    <n v="0"/>
    <n v="0"/>
    <n v="0"/>
    <n v="0"/>
    <n v="0"/>
    <n v="0.115"/>
    <n v="0"/>
    <n v="7.0000000000000007E-2"/>
    <n v="0"/>
    <n v="0"/>
    <n v="0"/>
    <n v="2.07E-2"/>
    <n v="0.20569999999999999"/>
    <n v="20570"/>
    <n v="0"/>
    <n v="0"/>
    <x v="0"/>
  </r>
  <r>
    <x v="120"/>
    <x v="0"/>
    <x v="1"/>
    <x v="2"/>
    <x v="14"/>
    <s v="MISCELLANEOUS EXPENSES"/>
    <s v="MISCELLANEOUS EXPENSES"/>
    <x v="0"/>
    <x v="7"/>
    <s v="Others"/>
    <x v="7"/>
    <n v="9.7000000000000003E-3"/>
    <n v="9.0168000000000002E-3"/>
    <n v="8.1919000000000002E-3"/>
    <n v="7.7761999999999996E-3"/>
    <n v="7.3921999999999998E-3"/>
    <n v="9.3387000000000001E-3"/>
    <n v="7.3655999999999999E-3"/>
    <n v="7.2874000000000003E-3"/>
    <n v="8.0333000000000002E-3"/>
    <n v="7.0637E-3"/>
    <n v="6.0206000000000001E-3"/>
    <n v="9.2037000000000004E-3"/>
    <n v="9.6351800000000001E-2"/>
    <n v="9635.18"/>
    <n v="9.3199000000000008E-3"/>
    <n v="0.01"/>
    <x v="0"/>
  </r>
  <r>
    <x v="121"/>
    <x v="0"/>
    <x v="1"/>
    <x v="2"/>
    <x v="14"/>
    <s v="MISCELLANEOUS EXPENSES"/>
    <s v="MISCELLANEOUS EXPENSES"/>
    <x v="0"/>
    <x v="8"/>
    <s v="Salaries &amp; Allowances"/>
    <x v="8"/>
    <n v="0"/>
    <n v="5.2223199999999999"/>
    <n v="5.73203"/>
    <n v="13.220280000000001"/>
    <n v="13.95804"/>
    <n v="5.13436"/>
    <n v="5.98393"/>
    <n v="0.55683000000000005"/>
    <n v="15.851929999999999"/>
    <n v="6.8353700000000002"/>
    <n v="7.9966200000000001"/>
    <n v="15.202120000000001"/>
    <n v="95.693830000000005"/>
    <n v="9569383"/>
    <n v="9.2014999999999993"/>
    <n v="796994"/>
    <x v="0"/>
  </r>
  <r>
    <x v="122"/>
    <x v="0"/>
    <x v="1"/>
    <x v="2"/>
    <x v="14"/>
    <s v="MISCELLANEOUS EXPENSES"/>
    <s v="MISCELLANEOUS EXPENSES"/>
    <x v="0"/>
    <x v="7"/>
    <s v="Subscription to Cable T V"/>
    <x v="7"/>
    <n v="0"/>
    <n v="0.37206"/>
    <n v="0"/>
    <n v="0.74809420000000004"/>
    <n v="0"/>
    <n v="0.78876999999999997"/>
    <n v="0.37619000000000002"/>
    <n v="0.37911"/>
    <n v="0.38035999999999998"/>
    <n v="0.38091000000000003"/>
    <n v="0.37969999999999998"/>
    <n v="0.72470579999999996"/>
    <n v="4.5298999999999996"/>
    <n v="452990"/>
    <n v="0.38368000000000002"/>
    <n v="38444"/>
    <x v="0"/>
  </r>
  <r>
    <x v="123"/>
    <x v="0"/>
    <x v="1"/>
    <x v="2"/>
    <x v="14"/>
    <s v="MISCELLANEOUS EXPENSES"/>
    <s v="MISCELLANEOUS EXPENSES"/>
    <x v="0"/>
    <x v="7"/>
    <s v="Books &amp; Periodicals"/>
    <x v="7"/>
    <n v="0.24809999999999999"/>
    <n v="0.36542000000000002"/>
    <n v="0.35527999999999998"/>
    <n v="0.19028"/>
    <n v="3.17361"/>
    <n v="2.1064600000000002"/>
    <n v="2.4597699999999998"/>
    <n v="2.9871471000000001"/>
    <n v="3.0614743"/>
    <n v="3.0214843"/>
    <n v="2.9711026"/>
    <n v="11.289175800000001"/>
    <n v="32.229294099999997"/>
    <n v="3222929.41"/>
    <n v="3.795328"/>
    <n v="227942"/>
    <x v="0"/>
  </r>
  <r>
    <x v="124"/>
    <x v="0"/>
    <x v="1"/>
    <x v="2"/>
    <x v="14"/>
    <s v="OTHER ADMINISTRATIVE EXPENSES"/>
    <s v="PRINTING &amp; STATIONERY"/>
    <x v="0"/>
    <x v="21"/>
    <s v="Printing &amp; Stationery"/>
    <x v="21"/>
    <n v="11.4132"/>
    <n v="17.2897128"/>
    <n v="13.4686363"/>
    <n v="16.438967999999999"/>
    <n v="13.802424200000001"/>
    <n v="14.393906400000001"/>
    <n v="17.6299724"/>
    <n v="11.574042199999999"/>
    <n v="13.9075711"/>
    <n v="14.0131107"/>
    <n v="17.457753499999999"/>
    <n v="19.357531099999999"/>
    <n v="180.7467924"/>
    <n v="18074679.239999998"/>
    <n v="18.9194329"/>
    <n v="1791119.7"/>
    <x v="0"/>
  </r>
  <r>
    <x v="125"/>
    <x v="0"/>
    <x v="1"/>
    <x v="2"/>
    <x v="14"/>
    <s v="OTHER ADMINISTRATIVE EXPENSES"/>
    <s v="ADVERTISEMENT CHARGES"/>
    <x v="0"/>
    <x v="22"/>
    <s v="Advertisement expenses"/>
    <x v="22"/>
    <n v="0"/>
    <n v="0.93359000000000003"/>
    <n v="0.56000000000000005"/>
    <n v="0.76"/>
    <n v="0"/>
    <n v="1.1200000000000001"/>
    <n v="0.91724000000000006"/>
    <n v="0.87"/>
    <n v="0"/>
    <n v="1.234"/>
    <n v="0"/>
    <n v="3.1614916000000002"/>
    <n v="9.5563216000000004"/>
    <n v="955632.16"/>
    <n v="0.56000000000000005"/>
    <n v="221000"/>
    <x v="0"/>
  </r>
  <r>
    <x v="126"/>
    <x v="0"/>
    <x v="1"/>
    <x v="2"/>
    <x v="14"/>
    <s v="OTHER ADMINISTRATIVE EXPENSES"/>
    <s v="ADVERTISEMENT CHARGES"/>
    <x v="0"/>
    <x v="9"/>
    <s v="Salary to Doctors"/>
    <x v="9"/>
    <n v="0"/>
    <n v="0.05"/>
    <n v="0"/>
    <n v="0"/>
    <n v="0"/>
    <n v="0.125"/>
    <n v="0"/>
    <n v="0"/>
    <n v="0"/>
    <n v="0"/>
    <n v="0.11799999999999999"/>
    <n v="0"/>
    <n v="0.29299999999999998"/>
    <n v="29300"/>
    <n v="0"/>
    <n v="0"/>
    <x v="0"/>
  </r>
  <r>
    <x v="127"/>
    <x v="0"/>
    <x v="1"/>
    <x v="2"/>
    <x v="14"/>
    <s v="OTHER ADMINISTRATIVE EXPENSES"/>
    <s v="ADVERTISEMENT CHARGES"/>
    <x v="0"/>
    <x v="8"/>
    <s v="Salaries &amp; Allowances"/>
    <x v="8"/>
    <n v="0"/>
    <n v="0"/>
    <n v="0"/>
    <n v="5.0029300000000001"/>
    <n v="0"/>
    <n v="0"/>
    <n v="5.4215900000000001"/>
    <n v="0"/>
    <n v="0"/>
    <n v="5.6090400000000002"/>
    <n v="0"/>
    <n v="0"/>
    <n v="16.033560000000001"/>
    <n v="1603356"/>
    <n v="0"/>
    <n v="586731.80000000005"/>
    <x v="0"/>
  </r>
  <r>
    <x v="128"/>
    <x v="0"/>
    <x v="1"/>
    <x v="2"/>
    <x v="14"/>
    <s v="OTHER ADMINISTRATIVE EXPENSES"/>
    <s v="ADVERTISEMENT CHARGES"/>
    <x v="0"/>
    <x v="22"/>
    <s v="Promotional Expenditure"/>
    <x v="22"/>
    <n v="0"/>
    <n v="0"/>
    <n v="0"/>
    <n v="4.407"/>
    <n v="0"/>
    <n v="0"/>
    <n v="3.02773"/>
    <n v="0"/>
    <n v="0"/>
    <n v="0"/>
    <n v="0"/>
    <n v="0"/>
    <n v="7.4347300000000001"/>
    <n v="743473"/>
    <n v="0"/>
    <n v="0"/>
    <x v="0"/>
  </r>
  <r>
    <x v="129"/>
    <x v="0"/>
    <x v="1"/>
    <x v="2"/>
    <x v="14"/>
    <s v="OTHER ADMINISTRATIVE EXPENSES"/>
    <s v="ADVERTISEMENT CHARGES"/>
    <x v="0"/>
    <x v="8"/>
    <s v="Salaries &amp; Allowances"/>
    <x v="8"/>
    <n v="-0.15"/>
    <n v="0.45500000000000002"/>
    <n v="-0.45500000000000002"/>
    <n v="0"/>
    <n v="0"/>
    <n v="0"/>
    <n v="0.05"/>
    <n v="0.05"/>
    <n v="-0.05"/>
    <n v="-3.5000000000000003E-2"/>
    <n v="3.5000000000000003E-2"/>
    <n v="0"/>
    <n v="-0.1"/>
    <n v="-10000"/>
    <n v="0.44500000000000001"/>
    <n v="0"/>
    <x v="0"/>
  </r>
  <r>
    <x v="130"/>
    <x v="0"/>
    <x v="1"/>
    <x v="2"/>
    <x v="14"/>
    <s v="OTHER ADMINISTRATIVE EXPENSES"/>
    <s v="ADVERTISEMENT CHARGES"/>
    <x v="0"/>
    <x v="8"/>
    <s v="Salaries &amp; Allowances"/>
    <x v="8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1"/>
    <x v="0"/>
    <x v="1"/>
    <x v="2"/>
    <x v="14"/>
    <s v="OTHER ADMINISTRATIVE EXPENSES"/>
    <s v="ADVERTISEMENT CHARGES"/>
    <x v="0"/>
    <x v="8"/>
    <s v="Salaries &amp; Allowances"/>
    <x v="8"/>
    <n v="0"/>
    <n v="0.19245999999999999"/>
    <n v="0.21753"/>
    <n v="0.32995999999999998"/>
    <n v="0.20254"/>
    <n v="0.24401"/>
    <n v="0.25929000000000002"/>
    <n v="0"/>
    <n v="0"/>
    <n v="0"/>
    <n v="0"/>
    <n v="0"/>
    <n v="1.4457899999999999"/>
    <n v="144579"/>
    <n v="0"/>
    <n v="0"/>
    <x v="0"/>
  </r>
  <r>
    <x v="132"/>
    <x v="0"/>
    <x v="1"/>
    <x v="2"/>
    <x v="14"/>
    <s v="OTHER ADMINISTRATIVE EXPENSES"/>
    <s v="ADVERTISEMENT CHARGES"/>
    <x v="0"/>
    <x v="8"/>
    <s v="Salaries &amp; Allowances"/>
    <x v="8"/>
    <n v="0"/>
    <n v="0"/>
    <n v="0"/>
    <n v="0"/>
    <n v="0"/>
    <n v="2.001E-2"/>
    <n v="0"/>
    <n v="0"/>
    <n v="0"/>
    <n v="0"/>
    <n v="0"/>
    <n v="0"/>
    <n v="2.001E-2"/>
    <n v="2001"/>
    <n v="0"/>
    <n v="0"/>
    <x v="0"/>
  </r>
  <r>
    <x v="133"/>
    <x v="0"/>
    <x v="1"/>
    <x v="2"/>
    <x v="14"/>
    <s v="OTHER ADMINISTRATIVE EXPENSES"/>
    <s v="ADVERTISEMENT CHARGES"/>
    <x v="0"/>
    <x v="7"/>
    <s v="Recruitment Expenses"/>
    <x v="7"/>
    <n v="1.1625000000000001"/>
    <n v="0"/>
    <n v="0"/>
    <n v="0"/>
    <n v="1.7"/>
    <n v="0"/>
    <n v="1"/>
    <n v="3.5"/>
    <n v="0"/>
    <n v="0.19179450000000001"/>
    <n v="0"/>
    <n v="1.32525"/>
    <n v="8.8795444999999997"/>
    <n v="887954.45"/>
    <n v="0"/>
    <n v="0"/>
    <x v="0"/>
  </r>
  <r>
    <x v="134"/>
    <x v="0"/>
    <x v="1"/>
    <x v="2"/>
    <x v="14"/>
    <s v="OTHER ADMINISTRATIVE EXPENSES"/>
    <s v="OFFICE EXPENSES"/>
    <x v="0"/>
    <x v="7"/>
    <s v="Others"/>
    <x v="7"/>
    <n v="0.05"/>
    <n v="0"/>
    <n v="0"/>
    <n v="0"/>
    <n v="0"/>
    <n v="0"/>
    <n v="0"/>
    <n v="0"/>
    <n v="0"/>
    <n v="0.1"/>
    <n v="0"/>
    <n v="1.75"/>
    <n v="1.9"/>
    <n v="190000"/>
    <n v="0"/>
    <n v="3500"/>
    <x v="0"/>
  </r>
  <r>
    <x v="135"/>
    <x v="0"/>
    <x v="1"/>
    <x v="2"/>
    <x v="14"/>
    <s v="OTHER ADMINISTRATIVE EXPENSES"/>
    <s v="OFFICE EXPENSES"/>
    <x v="0"/>
    <x v="18"/>
    <s v="Rates &amp; Taxes"/>
    <x v="18"/>
    <n v="0"/>
    <n v="0"/>
    <n v="0"/>
    <n v="0"/>
    <n v="0"/>
    <n v="0"/>
    <n v="0"/>
    <n v="0"/>
    <n v="0"/>
    <n v="0"/>
    <n v="0"/>
    <n v="0"/>
    <n v="0"/>
    <n v="0"/>
    <n v="0"/>
    <n v="6840"/>
    <x v="0"/>
  </r>
  <r>
    <x v="136"/>
    <x v="0"/>
    <x v="1"/>
    <x v="2"/>
    <x v="14"/>
    <s v="OTHER ADMINISTRATIVE EXPENSES"/>
    <s v="OFFICE EXPENSES"/>
    <x v="0"/>
    <x v="18"/>
    <s v="Rates &amp; Taxes"/>
    <x v="18"/>
    <n v="0"/>
    <n v="2.912E-2"/>
    <n v="4.8000000000000001E-2"/>
    <n v="2.4E-2"/>
    <n v="0"/>
    <n v="1.9400000000000001E-3"/>
    <n v="4.4330000000000001E-2"/>
    <n v="3.6900000000000001E-3"/>
    <n v="0"/>
    <n v="2.444E-2"/>
    <n v="1.367E-2"/>
    <n v="6.8529999999999994E-2"/>
    <n v="0.25772"/>
    <n v="25772"/>
    <n v="0"/>
    <n v="0"/>
    <x v="0"/>
  </r>
  <r>
    <x v="137"/>
    <x v="0"/>
    <x v="1"/>
    <x v="2"/>
    <x v="14"/>
    <s v="OTHER ADMINISTRATIVE EXPENSES"/>
    <s v="OFFICE EXPENSES"/>
    <x v="0"/>
    <x v="7"/>
    <s v="Office Expenses"/>
    <x v="7"/>
    <n v="0"/>
    <n v="0"/>
    <n v="0"/>
    <n v="0"/>
    <n v="0"/>
    <n v="0"/>
    <n v="0"/>
    <n v="0"/>
    <n v="0"/>
    <n v="0"/>
    <n v="1.7952000000000001E-3"/>
    <n v="0"/>
    <n v="1.7952000000000001E-3"/>
    <n v="179.52"/>
    <n v="0"/>
    <n v="0"/>
    <x v="0"/>
  </r>
  <r>
    <x v="138"/>
    <x v="0"/>
    <x v="1"/>
    <x v="2"/>
    <x v="14"/>
    <s v="OTHER ADMINISTRATIVE EXPENSES"/>
    <s v="OFFICE EXPENSES"/>
    <x v="0"/>
    <x v="7"/>
    <s v="Others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39"/>
    <x v="0"/>
    <x v="1"/>
    <x v="2"/>
    <x v="14"/>
    <s v="OTHER ADMINISTRATIVE EXPENSES"/>
    <s v="OFFICE EXPENSES"/>
    <x v="0"/>
    <x v="7"/>
    <s v="Others"/>
    <x v="7"/>
    <n v="3.5999999999999997E-2"/>
    <n v="-0.56437000000000004"/>
    <n v="2.503E-2"/>
    <n v="0"/>
    <n v="5.008E-2"/>
    <n v="8.4500000000000006E-2"/>
    <n v="2.2499999999999999E-2"/>
    <n v="2.6249999999999999E-2"/>
    <n v="5.3499999999999999E-2"/>
    <n v="-0.20649999999999999"/>
    <n v="4.3499999999999997E-2"/>
    <n v="2.2499999999999999E-2"/>
    <n v="-0.40700999999999998"/>
    <n v="-40701"/>
    <n v="4.2500000000000003E-2"/>
    <n v="2350"/>
    <x v="0"/>
  </r>
  <r>
    <x v="140"/>
    <x v="0"/>
    <x v="1"/>
    <x v="2"/>
    <x v="14"/>
    <s v="OTHER ADMINISTRATIVE EXPENSES"/>
    <s v="POSTAGE &amp; COURIER CHARGES"/>
    <x v="0"/>
    <x v="23"/>
    <s v="Postage &amp; Courier Charges"/>
    <x v="23"/>
    <n v="0.1024"/>
    <n v="7.4499999999999997E-2"/>
    <n v="0.32832"/>
    <n v="0.83584999999999998"/>
    <n v="0.19847999999999999"/>
    <n v="-0.14043"/>
    <n v="0.69706000000000001"/>
    <n v="0.45500000000000002"/>
    <n v="-6.08E-2"/>
    <n v="0.71309"/>
    <n v="4.6980000000000001E-2"/>
    <n v="0.62742580000000003"/>
    <n v="3.8779157999999998"/>
    <n v="387791.58"/>
    <n v="0.24160000000000001"/>
    <n v="19032"/>
    <x v="0"/>
  </r>
  <r>
    <x v="141"/>
    <x v="0"/>
    <x v="1"/>
    <x v="2"/>
    <x v="14"/>
    <s v="OTHER ADMINISTRATIVE EXPENSES"/>
    <s v="PROFESSIONAL CHARGES"/>
    <x v="0"/>
    <x v="12"/>
    <s v="Professional Charges"/>
    <x v="12"/>
    <n v="0"/>
    <n v="0.79059999999999997"/>
    <n v="2.5133999999999999"/>
    <n v="0.88500000000000001"/>
    <n v="0.49559999999999998"/>
    <n v="1.0266"/>
    <n v="0.70799999999999996"/>
    <n v="0.73160000000000003"/>
    <n v="0.88500000000000001"/>
    <n v="0.56757999999999997"/>
    <n v="0.76700000000000002"/>
    <n v="7.08"/>
    <n v="16.450379999999999"/>
    <n v="1645038"/>
    <n v="3.3039999999999998"/>
    <n v="23600"/>
    <x v="0"/>
  </r>
  <r>
    <x v="142"/>
    <x v="0"/>
    <x v="1"/>
    <x v="2"/>
    <x v="14"/>
    <s v="OTHER ADMINISTRATIVE EXPENSES"/>
    <s v="PROFESSIONAL CHARGES"/>
    <x v="0"/>
    <x v="12"/>
    <s v="Professional Charges"/>
    <x v="12"/>
    <n v="0"/>
    <n v="3.3995199999999999"/>
    <n v="0"/>
    <n v="0.39723999999999998"/>
    <n v="7.4999999999999997E-3"/>
    <n v="1.8499999999999999E-2"/>
    <n v="3.5479999999999998E-2"/>
    <n v="0.73362000000000005"/>
    <n v="5.058E-2"/>
    <n v="0.20710000000000001"/>
    <n v="1.0460000000000001E-2"/>
    <n v="0.29017999999999999"/>
    <n v="5.1501799999999998"/>
    <n v="515018"/>
    <n v="0.13874"/>
    <n v="2550"/>
    <x v="0"/>
  </r>
  <r>
    <x v="143"/>
    <x v="0"/>
    <x v="1"/>
    <x v="2"/>
    <x v="14"/>
    <s v="OTHER ADMINISTRATIVE EXPENSES"/>
    <s v="PROFESSIONAL CHARGES"/>
    <x v="0"/>
    <x v="12"/>
    <s v="IA and other audit"/>
    <x v="12"/>
    <n v="0"/>
    <n v="0"/>
    <n v="0"/>
    <n v="0"/>
    <n v="0"/>
    <n v="0"/>
    <n v="0"/>
    <n v="0"/>
    <n v="0"/>
    <n v="4.72"/>
    <n v="0.98784000000000005"/>
    <n v="0"/>
    <n v="5.70784"/>
    <n v="570784"/>
    <n v="0"/>
    <n v="0"/>
    <x v="0"/>
  </r>
  <r>
    <x v="144"/>
    <x v="0"/>
    <x v="1"/>
    <x v="2"/>
    <x v="14"/>
    <s v="OTHER ADMINISTRATIVE EXPENSES"/>
    <s v="PROFESSIONAL CHARGES"/>
    <x v="0"/>
    <x v="12"/>
    <s v="IA and other audit"/>
    <x v="12"/>
    <n v="0"/>
    <n v="0"/>
    <n v="0"/>
    <n v="0"/>
    <n v="0"/>
    <n v="0"/>
    <n v="0"/>
    <n v="1.5458000000000001"/>
    <n v="0"/>
    <n v="0.05"/>
    <n v="0.18321000000000001"/>
    <n v="4.7699999999999999E-2"/>
    <n v="1.8267100000000001"/>
    <n v="182671"/>
    <n v="0"/>
    <n v="141600"/>
    <x v="0"/>
  </r>
  <r>
    <x v="145"/>
    <x v="0"/>
    <x v="1"/>
    <x v="2"/>
    <x v="14"/>
    <s v="OTHER ADMINISTRATIVE EXPENSES"/>
    <s v="PROFESSIONAL CHARGES"/>
    <x v="0"/>
    <x v="7"/>
    <s v="Patient Preparation Charges"/>
    <x v="7"/>
    <n v="0"/>
    <n v="0.33082"/>
    <n v="0.37152000000000002"/>
    <n v="0.71604999999999996"/>
    <n v="0.33143"/>
    <n v="0.38745000000000002"/>
    <n v="0.34294000000000002"/>
    <n v="0.24521000000000001"/>
    <n v="-9.74E-2"/>
    <n v="0"/>
    <n v="0"/>
    <n v="0"/>
    <n v="2.6280199999999998"/>
    <n v="262802"/>
    <n v="0"/>
    <n v="500"/>
    <x v="0"/>
  </r>
  <r>
    <x v="146"/>
    <x v="0"/>
    <x v="1"/>
    <x v="2"/>
    <x v="14"/>
    <s v="OTHER ADMINISTRATIVE EXPENSES"/>
    <s v="PROFESSIONAL CHARGES"/>
    <x v="0"/>
    <x v="12"/>
    <s v="Professional Charges"/>
    <x v="12"/>
    <n v="2.835"/>
    <n v="5.5703199999999997"/>
    <n v="6.2260900000000001"/>
    <n v="14.89344"/>
    <n v="6.3049099999999996"/>
    <n v="5.4635699999999998"/>
    <n v="14.9735"/>
    <n v="8.1341699999999992"/>
    <n v="7.7865599999999997"/>
    <n v="13.2736"/>
    <n v="7.7282400000000004"/>
    <n v="43.411003299999997"/>
    <n v="136.60040330000001"/>
    <n v="13660040.33"/>
    <n v="10.207330000000001"/>
    <n v="1232925"/>
    <x v="0"/>
  </r>
  <r>
    <x v="147"/>
    <x v="0"/>
    <x v="1"/>
    <x v="2"/>
    <x v="14"/>
    <s v="OTHER ADMINISTRATIVE EXPENSES"/>
    <s v="PROMOTIONAL EXPENDITURE"/>
    <x v="0"/>
    <x v="22"/>
    <s v="Promotional Expenditure"/>
    <x v="22"/>
    <n v="0.8"/>
    <n v="0.61638000000000004"/>
    <n v="0"/>
    <n v="0"/>
    <n v="0.89492000000000005"/>
    <n v="0"/>
    <n v="0"/>
    <n v="0"/>
    <n v="0"/>
    <n v="1.7"/>
    <n v="0.3"/>
    <n v="2.1696E-2"/>
    <n v="4.3329959999999996"/>
    <n v="433299.6"/>
    <n v="0.4"/>
    <n v="93945"/>
    <x v="0"/>
  </r>
  <r>
    <x v="148"/>
    <x v="0"/>
    <x v="1"/>
    <x v="2"/>
    <x v="14"/>
    <s v="OTHER ADMINISTRATIVE EXPENSES"/>
    <s v="PROMOTIONAL EXPENDITURE"/>
    <x v="0"/>
    <x v="24"/>
    <s v="CSR Activity"/>
    <x v="24"/>
    <n v="0"/>
    <n v="0.79649000000000003"/>
    <n v="2.9582299999999999"/>
    <n v="2.4500000000000002"/>
    <n v="1.2450000000000001"/>
    <n v="2.5475599999999998"/>
    <n v="1.4011400000000001"/>
    <n v="0"/>
    <n v="22.570810000000002"/>
    <n v="0"/>
    <n v="2"/>
    <n v="19.772639999999999"/>
    <n v="55.741869999999999"/>
    <n v="5574187"/>
    <n v="0"/>
    <n v="0"/>
    <x v="0"/>
  </r>
  <r>
    <x v="149"/>
    <x v="0"/>
    <x v="1"/>
    <x v="2"/>
    <x v="14"/>
    <s v="OTHER ADMINISTRATIVE EXPENSES"/>
    <s v="PROMOTIONAL EXPENDITURE"/>
    <x v="0"/>
    <x v="22"/>
    <s v="Promotional Expenditure"/>
    <x v="22"/>
    <n v="0"/>
    <n v="37.99147"/>
    <n v="32.670740000000002"/>
    <n v="28.447140000000001"/>
    <n v="50.211709999999997"/>
    <n v="62.468820000000001"/>
    <n v="58.134619999999998"/>
    <n v="52.508479999999999"/>
    <n v="47.675229999999999"/>
    <n v="40.190159999999999"/>
    <n v="99.267070000000004"/>
    <n v="8.8968100000000003"/>
    <n v="518.46225000000004"/>
    <n v="51846225"/>
    <n v="53"/>
    <n v="3342761"/>
    <x v="0"/>
  </r>
  <r>
    <x v="150"/>
    <x v="0"/>
    <x v="1"/>
    <x v="2"/>
    <x v="14"/>
    <s v="OTHER ADMINISTRATIVE EXPENSES"/>
    <s v="PROMOTIONAL EXPENDITURE"/>
    <x v="0"/>
    <x v="22"/>
    <s v="Promotional Expenditure"/>
    <x v="22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51"/>
    <x v="0"/>
    <x v="1"/>
    <x v="2"/>
    <x v="14"/>
    <s v="OTHER ADMINISTRATIVE EXPENSES"/>
    <s v="SECURITY EXPENSES"/>
    <x v="0"/>
    <x v="25"/>
    <s v="Security Services"/>
    <x v="25"/>
    <n v="20.417400000000001"/>
    <n v="23.251449999999998"/>
    <n v="23.251449999999998"/>
    <n v="22.96171"/>
    <n v="19.611619999999998"/>
    <n v="18.6759235"/>
    <n v="25.150480000000002"/>
    <n v="20.6798"/>
    <n v="21.015059999999998"/>
    <n v="22.250769999999999"/>
    <n v="20.75996"/>
    <n v="22.6"/>
    <n v="260.6255835"/>
    <n v="29650389.300000001"/>
    <n v="23.457550000000001"/>
    <n v="1842536"/>
    <x v="0"/>
  </r>
  <r>
    <x v="152"/>
    <x v="0"/>
    <x v="1"/>
    <x v="2"/>
    <x v="14"/>
    <s v="OTHER ADMINISTRATIVE EXPENSES"/>
    <s v="TELEPHONE &amp; MOBILE CHARGES"/>
    <x v="0"/>
    <x v="23"/>
    <s v="Telephone &amp; Mobile Charges"/>
    <x v="23"/>
    <n v="0.57920000000000005"/>
    <n v="3.3265310000000001"/>
    <n v="2.0048143"/>
    <n v="2.9064199999999998"/>
    <n v="2.47925"/>
    <n v="2.5154743000000002"/>
    <n v="2.2310099999999999"/>
    <n v="4.4609996000000001"/>
    <n v="1.9518118"/>
    <n v="2.4997492000000001"/>
    <n v="1.8510321999999999"/>
    <n v="4.3748341999999996"/>
    <n v="31.181127400000001"/>
    <n v="3118112.74"/>
    <n v="0.59926999999999997"/>
    <n v="221649"/>
    <x v="0"/>
  </r>
  <r>
    <x v="153"/>
    <x v="0"/>
    <x v="1"/>
    <x v="2"/>
    <x v="14"/>
    <s v="OTHER ADMINISTRATIVE EXPENSES"/>
    <s v="TRANSPORTATION CHARGES"/>
    <x v="0"/>
    <x v="26"/>
    <s v="Transportation Charges"/>
    <x v="26"/>
    <n v="0.05"/>
    <n v="0.02"/>
    <n v="0.04"/>
    <n v="0"/>
    <n v="0.05"/>
    <n v="0"/>
    <n v="0"/>
    <n v="0.05"/>
    <n v="0.05"/>
    <n v="0.03"/>
    <n v="0.05"/>
    <n v="0"/>
    <n v="0.34"/>
    <n v="34000"/>
    <n v="0"/>
    <n v="0"/>
    <x v="0"/>
  </r>
  <r>
    <x v="154"/>
    <x v="0"/>
    <x v="1"/>
    <x v="2"/>
    <x v="14"/>
    <s v="OTHER ADMINISTRATIVE EXPENSES"/>
    <s v="TRANSPORTATION CHARGES"/>
    <x v="0"/>
    <x v="22"/>
    <s v="Travelling Expense"/>
    <x v="22"/>
    <n v="78.355999999999995"/>
    <n v="17.0505219"/>
    <n v="25.018300100000001"/>
    <n v="15.6825952"/>
    <n v="13.655542000000001"/>
    <n v="18.959044299999999"/>
    <n v="17.951429999999998"/>
    <n v="16.430356499999998"/>
    <n v="28.817909100000001"/>
    <n v="29.4853652"/>
    <n v="10.8943589"/>
    <n v="42.190612199999997"/>
    <n v="314.49206779999997"/>
    <n v="31449206.780000001"/>
    <n v="17.509309300000002"/>
    <n v="1256149"/>
    <x v="0"/>
  </r>
  <r>
    <x v="155"/>
    <x v="0"/>
    <x v="1"/>
    <x v="2"/>
    <x v="14"/>
    <s v="OTHER ADMINISTRATIVE EXPENSES"/>
    <s v="TRANSPORTATION CHARGES"/>
    <x v="0"/>
    <x v="26"/>
    <s v="Transportation Charges"/>
    <x v="26"/>
    <n v="0.03"/>
    <n v="0"/>
    <n v="0"/>
    <n v="0"/>
    <n v="0"/>
    <n v="1.4E-3"/>
    <n v="0.53861999999999999"/>
    <n v="7.4999999999999997E-2"/>
    <n v="0"/>
    <n v="2.5000000000000001E-2"/>
    <n v="0.31530390000000003"/>
    <n v="5.7079999999999999E-2"/>
    <n v="1.0424039"/>
    <n v="104240.39"/>
    <n v="0"/>
    <n v="0"/>
    <x v="0"/>
  </r>
  <r>
    <x v="156"/>
    <x v="0"/>
    <x v="1"/>
    <x v="2"/>
    <x v="14"/>
    <s v="OTHER ADMINISTRATIVE EXPENSES"/>
    <s v="TRAVELLING EXPENSES"/>
    <x v="0"/>
    <x v="26"/>
    <s v="Travelling Expenses"/>
    <x v="26"/>
    <n v="0.50839999999999996"/>
    <n v="2.2430699999999999"/>
    <n v="2.2614899999999998"/>
    <n v="3.3550200000000001"/>
    <n v="5.5457400000000003"/>
    <n v="1.2009099999999999"/>
    <n v="2.9471609999999999"/>
    <n v="0.97070999999999996"/>
    <n v="2.0437599999999998"/>
    <n v="1.4036799"/>
    <n v="3.0596899999999998"/>
    <n v="9.5826773000000003"/>
    <n v="35.122268200000001"/>
    <n v="3512226.82"/>
    <n v="5.2700100000000001"/>
    <n v="165998"/>
    <x v="0"/>
  </r>
  <r>
    <x v="157"/>
    <x v="0"/>
    <x v="1"/>
    <x v="2"/>
    <x v="14"/>
    <s v="OTHER ADMINISTRATIVE EXPENSES"/>
    <s v="TRAVELLING EXPENSES"/>
    <x v="0"/>
    <x v="22"/>
    <s v="Travelling Expense"/>
    <x v="22"/>
    <n v="0.62139999999999995"/>
    <n v="1.2086699999999999"/>
    <n v="1.3535900000000001"/>
    <n v="1.3304499999999999"/>
    <n v="1.5419400000000001"/>
    <n v="2.2874599999999998"/>
    <n v="1.8077094"/>
    <n v="1.9238200000000001"/>
    <n v="1.1489499999999999"/>
    <n v="1.50044"/>
    <n v="1.2956700000000001"/>
    <n v="9.0774886000000006"/>
    <n v="25.097598000000001"/>
    <n v="2509759.7999999998"/>
    <n v="0.53303999999999996"/>
    <n v="67483"/>
    <x v="0"/>
  </r>
  <r>
    <x v="158"/>
    <x v="0"/>
    <x v="1"/>
    <x v="2"/>
    <x v="14"/>
    <s v="OTHER ADMINISTRATIVE EXPENSES"/>
    <s v="VEHICLE EXPENSES"/>
    <x v="0"/>
    <x v="16"/>
    <s v="Vehicle Expenses"/>
    <x v="16"/>
    <n v="2.3E-2"/>
    <n v="3.6630000000000003E-2"/>
    <n v="1.03E-2"/>
    <n v="2.3599999999999999E-2"/>
    <n v="4.2180000000000002E-2"/>
    <n v="5.978E-2"/>
    <n v="9.7790000000000002E-2"/>
    <n v="1.9599999999999999E-2"/>
    <n v="0.15314"/>
    <n v="0.13189999999999999"/>
    <n v="0.3281"/>
    <n v="0.14631"/>
    <n v="1.07233"/>
    <n v="107233"/>
    <n v="0.12790000000000001"/>
    <n v="2950"/>
    <x v="0"/>
  </r>
  <r>
    <x v="159"/>
    <x v="0"/>
    <x v="1"/>
    <x v="2"/>
    <x v="14"/>
    <s v="COURSE EXPENSES"/>
    <s v="COURSE EXPENSES"/>
    <x v="0"/>
    <x v="7"/>
    <s v="ACLS &amp; BLS Expenses"/>
    <x v="7"/>
    <n v="0"/>
    <n v="0.89200000000000002"/>
    <n v="0.95145999999999997"/>
    <n v="0.82972000000000001"/>
    <n v="0.66266999999999998"/>
    <n v="0"/>
    <n v="0.45623000000000002"/>
    <n v="0.47572999999999999"/>
    <n v="0"/>
    <n v="0.45623000000000002"/>
    <n v="0.81337000000000004"/>
    <n v="1.1387100000000001"/>
    <n v="6.6761200000000001"/>
    <n v="667612"/>
    <n v="0"/>
    <n v="0"/>
    <x v="0"/>
  </r>
  <r>
    <x v="160"/>
    <x v="0"/>
    <x v="1"/>
    <x v="2"/>
    <x v="14"/>
    <s v="KOZHIKODE MEDICAL CENTRE EXPENSES"/>
    <s v="KOZHIKODE MEDICAL CENTRE EXPENSES"/>
    <x v="0"/>
    <x v="15"/>
    <s v="Rent Paid"/>
    <x v="15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1"/>
    <x v="0"/>
    <x v="1"/>
    <x v="2"/>
    <x v="13"/>
    <s v="INTEREST EXPENSE"/>
    <s v="INTEREST EXPENSE"/>
    <x v="0"/>
    <x v="10"/>
    <m/>
    <x v="10"/>
    <n v="0"/>
    <n v="2.189E-2"/>
    <n v="0"/>
    <n v="0"/>
    <n v="0"/>
    <n v="0"/>
    <n v="0"/>
    <n v="0"/>
    <n v="0"/>
    <n v="0"/>
    <n v="0"/>
    <n v="0"/>
    <n v="2.189E-2"/>
    <n v="2189"/>
    <n v="0"/>
    <n v="0"/>
    <x v="0"/>
  </r>
  <r>
    <x v="162"/>
    <x v="0"/>
    <x v="0"/>
    <x v="0"/>
    <x v="0"/>
    <s v="OTHER HEALTHCARE SERVICES"/>
    <s v="IP BILLING COLLECTION"/>
    <x v="0"/>
    <x v="3"/>
    <s v="IP Revenue"/>
    <x v="3"/>
    <n v="0"/>
    <n v="0"/>
    <n v="-3.786"/>
    <n v="0"/>
    <n v="0"/>
    <n v="0"/>
    <n v="0"/>
    <n v="0"/>
    <n v="0"/>
    <n v="0"/>
    <n v="0"/>
    <n v="0"/>
    <n v="-3.786"/>
    <n v="-378600"/>
    <n v="-2.573"/>
    <n v="-367422"/>
    <x v="0"/>
  </r>
  <r>
    <x v="163"/>
    <x v="0"/>
    <x v="0"/>
    <x v="0"/>
    <x v="0"/>
    <s v="OTHER HEALTHCARE SERVICES"/>
    <s v="IP BILLING COLLECTION"/>
    <x v="0"/>
    <x v="3"/>
    <s v="IP Revenue"/>
    <x v="3"/>
    <n v="0"/>
    <n v="0"/>
    <n v="-0.61899999999999999"/>
    <n v="0"/>
    <n v="0"/>
    <n v="0"/>
    <n v="0"/>
    <n v="-0.96745000000000003"/>
    <n v="-2.5636000000000001"/>
    <n v="-1.4844999999999999"/>
    <n v="-3.5499000000000001"/>
    <n v="-2.3163999999999998"/>
    <n v="-11.50085"/>
    <n v="-1150085"/>
    <n v="-1.6495"/>
    <n v="-260500"/>
    <x v="0"/>
  </r>
  <r>
    <x v="164"/>
    <x v="0"/>
    <x v="1"/>
    <x v="2"/>
    <x v="9"/>
    <s v="PURCHASES (OTHER THAN STORE)"/>
    <s v="PURCHASES (OTHER THAN STORE)"/>
    <x v="0"/>
    <x v="6"/>
    <s v="Medicines and consumables"/>
    <x v="6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5"/>
    <x v="0"/>
    <x v="1"/>
    <x v="2"/>
    <x v="14"/>
    <s v="OTHER ADMINISTRATIVE EXPENSES"/>
    <s v="ADVERTISEMENT CHARGES"/>
    <x v="0"/>
    <x v="22"/>
    <s v="SPONSERSHIP EXPENSES"/>
    <x v="22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6"/>
    <x v="0"/>
    <x v="1"/>
    <x v="2"/>
    <x v="9"/>
    <s v="PURCHASE-CONSIGNMENT STORE"/>
    <s v="PURCHASE-CONSIGNMENT STORE"/>
    <x v="0"/>
    <x v="6"/>
    <s v="Medicines and consumables"/>
    <x v="6"/>
    <n v="7.1353"/>
    <n v="4.9587589000000003"/>
    <n v="21.7163687"/>
    <n v="15.608893699999999"/>
    <n v="15.6584974"/>
    <n v="14.9855549"/>
    <n v="36.277272099999998"/>
    <n v="16.401368000000002"/>
    <n v="25.6522857"/>
    <n v="16.278228299999999"/>
    <n v="26.715193299999999"/>
    <n v="23.2071781"/>
    <n v="224.59487910000001"/>
    <n v="22459487.91"/>
    <n v="18.3737149"/>
    <n v="1874632.09"/>
    <x v="0"/>
  </r>
  <r>
    <x v="167"/>
    <x v="0"/>
    <x v="1"/>
    <x v="2"/>
    <x v="14"/>
    <s v="OTHER ADMINISTRATIVE EXPENSES"/>
    <s v="PROFESSIONAL CHARGES"/>
    <x v="0"/>
    <x v="9"/>
    <s v="Ayurvedic Doctor Share"/>
    <x v="9"/>
    <n v="0"/>
    <n v="0"/>
    <n v="0"/>
    <n v="0"/>
    <n v="2.06115"/>
    <n v="0"/>
    <n v="0.99085000000000001"/>
    <n v="0"/>
    <n v="0.36749999999999999"/>
    <n v="0.32829999999999998"/>
    <n v="0"/>
    <n v="0.65466000000000002"/>
    <n v="4.4024599999999996"/>
    <n v="440246"/>
    <n v="0"/>
    <n v="0"/>
    <x v="0"/>
  </r>
  <r>
    <x v="168"/>
    <x v="0"/>
    <x v="0"/>
    <x v="0"/>
    <x v="0"/>
    <s v="OTHER HEALTHCARE SERVICES"/>
    <s v="IP BILLING COLLECTION"/>
    <x v="0"/>
    <x v="3"/>
    <s v="IP Revenue"/>
    <x v="3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69"/>
    <x v="0"/>
    <x v="0"/>
    <x v="1"/>
    <x v="3"/>
    <s v="INTEREST RECCEIVED"/>
    <s v="INTEREST RECCEIVED"/>
    <x v="0"/>
    <x v="4"/>
    <s v="Interest on Income Tax Refund"/>
    <x v="4"/>
    <n v="0"/>
    <n v="0"/>
    <n v="0"/>
    <n v="-3.0200000000000001E-3"/>
    <n v="0"/>
    <n v="0"/>
    <n v="0"/>
    <n v="0"/>
    <n v="0"/>
    <n v="0"/>
    <n v="0"/>
    <n v="-12.3613"/>
    <n v="-12.364319999999999"/>
    <n v="-1236432"/>
    <n v="0"/>
    <n v="0"/>
    <x v="0"/>
  </r>
  <r>
    <x v="170"/>
    <x v="0"/>
    <x v="0"/>
    <x v="1"/>
    <x v="5"/>
    <s v="OTHER NON OPERATING INCOME"/>
    <s v="OTHER NON OPERATING INCOME"/>
    <x v="0"/>
    <x v="4"/>
    <s v="INCOME FROM GOVERNMENT GRANT"/>
    <x v="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1"/>
    <x v="0"/>
    <x v="1"/>
    <x v="2"/>
    <x v="12"/>
    <s v="SALARIES &amp; WAGES"/>
    <s v="GRATUITY"/>
    <x v="0"/>
    <x v="8"/>
    <s v="Salaries &amp; Allowances"/>
    <x v="8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2"/>
    <x v="0"/>
    <x v="1"/>
    <x v="2"/>
    <x v="12"/>
    <s v="SALARIES &amp; WAGES"/>
    <s v="LEAVE ENCASHMENT"/>
    <x v="0"/>
    <x v="8"/>
    <s v="Salaries &amp; Allowances"/>
    <x v="8"/>
    <n v="0"/>
    <n v="0"/>
    <n v="0"/>
    <n v="0"/>
    <n v="0"/>
    <n v="0"/>
    <n v="0"/>
    <n v="0"/>
    <n v="0.23363999999999999"/>
    <n v="0"/>
    <n v="0"/>
    <n v="0"/>
    <n v="0.23363999999999999"/>
    <n v="23364"/>
    <n v="0"/>
    <n v="0"/>
    <x v="0"/>
  </r>
  <r>
    <x v="173"/>
    <x v="0"/>
    <x v="1"/>
    <x v="2"/>
    <x v="12"/>
    <s v="SALARIES &amp; WAGES"/>
    <s v="BONUS"/>
    <x v="0"/>
    <x v="8"/>
    <s v="Salaries &amp; Allowances"/>
    <x v="8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4"/>
    <x v="0"/>
    <x v="1"/>
    <x v="2"/>
    <x v="13"/>
    <s v="INTEREST EXPENSE"/>
    <s v="INTEREST EXPENSE"/>
    <x v="0"/>
    <x v="10"/>
    <s v="INTEREST ON DELAYED PAYMENTS TO MSME"/>
    <x v="10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5"/>
    <x v="0"/>
    <x v="1"/>
    <x v="2"/>
    <x v="14"/>
    <s v="RATES &amp; TAXES"/>
    <s v="RATES &amp; TAXES"/>
    <x v="0"/>
    <x v="18"/>
    <s v="Property Tax"/>
    <x v="18"/>
    <n v="0"/>
    <n v="0"/>
    <n v="0"/>
    <n v="0"/>
    <n v="0"/>
    <n v="0"/>
    <n v="8.0125200000000003"/>
    <n v="0"/>
    <n v="0"/>
    <n v="0.23116999999999999"/>
    <n v="0"/>
    <n v="7.8753700000000002"/>
    <n v="16.119060000000001"/>
    <n v="1611906"/>
    <n v="0"/>
    <n v="0"/>
    <x v="0"/>
  </r>
  <r>
    <x v="176"/>
    <x v="0"/>
    <x v="1"/>
    <x v="2"/>
    <x v="14"/>
    <s v="MISCELLANEOUS EXPENSES"/>
    <s v="MISCELLANEOUS EXPENSES"/>
    <x v="0"/>
    <x v="7"/>
    <s v="Prior Period Expenses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7"/>
    <x v="0"/>
    <x v="1"/>
    <x v="2"/>
    <x v="14"/>
    <s v="OTHER ADMINISTRATIVE EXPENSES"/>
    <s v="OFFICE EXPENSES"/>
    <x v="0"/>
    <x v="7"/>
    <s v="Others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8"/>
    <x v="0"/>
    <x v="1"/>
    <x v="2"/>
    <x v="14"/>
    <s v="DEPRECIATION"/>
    <s v="DEPRECIATION"/>
    <x v="0"/>
    <x v="27"/>
    <s v="Amortisation"/>
    <x v="2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9"/>
    <x v="0"/>
    <x v="1"/>
    <x v="2"/>
    <x v="14"/>
    <s v="DEPRECIATION"/>
    <s v="DEPRECIATION"/>
    <x v="0"/>
    <x v="27"/>
    <s v="Depreciation"/>
    <x v="27"/>
    <n v="0"/>
    <n v="0"/>
    <n v="0"/>
    <n v="0"/>
    <n v="0"/>
    <n v="0"/>
    <n v="0"/>
    <n v="0"/>
    <n v="0"/>
    <n v="0"/>
    <m/>
    <m/>
    <n v="0"/>
    <m/>
    <n v="0"/>
    <n v="26383396"/>
    <x v="0"/>
  </r>
  <r>
    <x v="180"/>
    <x v="0"/>
    <x v="1"/>
    <x v="2"/>
    <x v="14"/>
    <s v="DEPRECIATION"/>
    <s v="DEPRECIATION"/>
    <x v="0"/>
    <x v="27"/>
    <s v="Depreciation (Government Grant EPCG)"/>
    <x v="2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1"/>
    <x v="0"/>
    <x v="1"/>
    <x v="2"/>
    <x v="14"/>
    <s v="DEPRECIATION"/>
    <s v="DEPRECIATION"/>
    <x v="0"/>
    <x v="27"/>
    <s v="Impairment In Value Of Investments ( Expense )"/>
    <x v="2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2"/>
    <x v="0"/>
    <x v="1"/>
    <x v="2"/>
    <x v="14"/>
    <s v="DOUBTFUL DEBTS"/>
    <s v="DOUBTFUL DEBTS"/>
    <x v="0"/>
    <x v="20"/>
    <m/>
    <x v="20"/>
    <n v="0"/>
    <n v="0"/>
    <n v="0"/>
    <n v="0"/>
    <n v="0"/>
    <n v="0"/>
    <n v="0"/>
    <n v="0"/>
    <n v="0"/>
    <n v="0"/>
    <m/>
    <m/>
    <n v="0"/>
    <m/>
    <n v="0"/>
    <n v="0"/>
    <x v="0"/>
  </r>
  <r>
    <x v="183"/>
    <x v="0"/>
    <x v="1"/>
    <x v="2"/>
    <x v="14"/>
    <s v="OTHER COMPERHENSIVE INCOME"/>
    <s v="OTHER COMPERHENSIVE INCOME"/>
    <x v="0"/>
    <x v="8"/>
    <s v="Salaries &amp; Allowances"/>
    <x v="8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84"/>
    <x v="0"/>
    <x v="1"/>
    <x v="2"/>
    <x v="14"/>
    <m/>
    <m/>
    <x v="0"/>
    <x v="16"/>
    <s v="Repairs-Building"/>
    <x v="16"/>
    <m/>
    <n v="0.36108420000000002"/>
    <n v="0"/>
    <n v="0"/>
    <n v="0"/>
    <n v="0"/>
    <n v="0"/>
    <n v="0"/>
    <n v="0"/>
    <n v="0"/>
    <n v="0"/>
    <n v="0"/>
    <n v="0.36108420000000002"/>
    <n v="36108.42"/>
    <n v="0"/>
    <n v="0"/>
    <x v="0"/>
  </r>
  <r>
    <x v="185"/>
    <x v="0"/>
    <x v="1"/>
    <x v="2"/>
    <x v="14"/>
    <m/>
    <m/>
    <x v="0"/>
    <x v="16"/>
    <s v="Repair to Other Equipment"/>
    <x v="16"/>
    <m/>
    <n v="2.3009999999999999E-2"/>
    <n v="0"/>
    <n v="1.8290000000000001E-2"/>
    <n v="0"/>
    <n v="0"/>
    <n v="0"/>
    <n v="0"/>
    <n v="0"/>
    <n v="0"/>
    <n v="0"/>
    <n v="0"/>
    <n v="4.1300000000000003E-2"/>
    <n v="4130"/>
    <n v="0"/>
    <n v="0"/>
    <x v="0"/>
  </r>
  <r>
    <x v="186"/>
    <x v="0"/>
    <x v="1"/>
    <x v="2"/>
    <x v="14"/>
    <m/>
    <m/>
    <x v="0"/>
    <x v="7"/>
    <s v="Others"/>
    <x v="7"/>
    <m/>
    <m/>
    <n v="5.985E-2"/>
    <n v="0"/>
    <n v="0"/>
    <n v="0"/>
    <n v="0"/>
    <n v="0"/>
    <n v="0"/>
    <n v="0"/>
    <n v="0"/>
    <n v="0"/>
    <n v="5.985E-2"/>
    <n v="5985"/>
    <n v="0"/>
    <n v="0"/>
    <x v="0"/>
  </r>
  <r>
    <x v="187"/>
    <x v="0"/>
    <x v="0"/>
    <x v="2"/>
    <x v="14"/>
    <m/>
    <m/>
    <x v="0"/>
    <x v="4"/>
    <s v="Training Fee"/>
    <x v="4"/>
    <m/>
    <m/>
    <m/>
    <n v="-4.4999900000000004"/>
    <n v="0"/>
    <n v="0"/>
    <n v="0"/>
    <n v="0"/>
    <n v="0"/>
    <n v="0"/>
    <n v="0"/>
    <n v="0"/>
    <n v="-4.4999900000000004"/>
    <n v="-449999"/>
    <n v="0"/>
    <n v="0"/>
    <x v="0"/>
  </r>
  <r>
    <x v="188"/>
    <x v="0"/>
    <x v="1"/>
    <x v="2"/>
    <x v="14"/>
    <m/>
    <m/>
    <x v="0"/>
    <x v="5"/>
    <s v="Aurveda"/>
    <x v="5"/>
    <m/>
    <m/>
    <m/>
    <n v="7.4999999999999997E-3"/>
    <n v="0"/>
    <n v="4.0000000000000001E-3"/>
    <n v="0"/>
    <n v="0"/>
    <n v="0"/>
    <n v="0"/>
    <n v="0"/>
    <n v="0"/>
    <n v="1.15E-2"/>
    <n v="1150"/>
    <n v="0"/>
    <n v="0"/>
    <x v="0"/>
  </r>
  <r>
    <x v="189"/>
    <x v="0"/>
    <x v="1"/>
    <x v="2"/>
    <x v="14"/>
    <m/>
    <m/>
    <x v="0"/>
    <x v="8"/>
    <s v="Staff welfare expenses"/>
    <x v="8"/>
    <m/>
    <m/>
    <m/>
    <m/>
    <n v="0.29204999999999998"/>
    <n v="-0.28205999999999998"/>
    <n v="0"/>
    <n v="0"/>
    <n v="0"/>
    <n v="0"/>
    <n v="0"/>
    <n v="5.9400000000000001E-2"/>
    <n v="6.9389999999999993E-2"/>
    <n v="6939"/>
    <n v="0"/>
    <n v="0"/>
    <x v="0"/>
  </r>
  <r>
    <x v="190"/>
    <x v="0"/>
    <x v="1"/>
    <x v="2"/>
    <x v="14"/>
    <m/>
    <m/>
    <x v="0"/>
    <x v="6"/>
    <s v="Medicines and consumables"/>
    <x v="6"/>
    <m/>
    <m/>
    <m/>
    <m/>
    <m/>
    <n v="-0.20613000000000001"/>
    <n v="0"/>
    <n v="0"/>
    <n v="0"/>
    <n v="0"/>
    <n v="0"/>
    <n v="-1.0306600000000001E-2"/>
    <n v="-0.21643660000000001"/>
    <n v="-21643.66"/>
    <n v="0"/>
    <n v="0"/>
    <x v="0"/>
  </r>
  <r>
    <x v="191"/>
    <x v="0"/>
    <x v="1"/>
    <x v="2"/>
    <x v="14"/>
    <m/>
    <m/>
    <x v="0"/>
    <x v="12"/>
    <s v="IA and other audit"/>
    <x v="12"/>
    <m/>
    <m/>
    <m/>
    <m/>
    <m/>
    <n v="7.0110000000000006E-2"/>
    <n v="1.1941200000000001E-2"/>
    <n v="1.1556E-2"/>
    <n v="1.1941200000000001E-2"/>
    <n v="1.1941200000000001E-2"/>
    <n v="1.0785599999999999E-2"/>
    <n v="1.1941200000000001E-2"/>
    <n v="0.14021639999999999"/>
    <n v="14021.64"/>
    <n v="1.1191E-2"/>
    <n v="0"/>
    <x v="0"/>
  </r>
  <r>
    <x v="192"/>
    <x v="0"/>
    <x v="1"/>
    <x v="2"/>
    <x v="14"/>
    <m/>
    <m/>
    <x v="0"/>
    <x v="8"/>
    <s v="Training Expenses"/>
    <x v="8"/>
    <m/>
    <m/>
    <m/>
    <m/>
    <m/>
    <m/>
    <m/>
    <m/>
    <n v="0.69120000000000004"/>
    <n v="0"/>
    <n v="0"/>
    <n v="0"/>
    <n v="0.69120000000000004"/>
    <n v="69120"/>
    <n v="0"/>
    <n v="0"/>
    <x v="0"/>
  </r>
  <r>
    <x v="193"/>
    <x v="0"/>
    <x v="0"/>
    <x v="3"/>
    <x v="15"/>
    <m/>
    <m/>
    <x v="0"/>
    <x v="4"/>
    <m/>
    <x v="4"/>
    <m/>
    <m/>
    <n v="-9.5307200000000005"/>
    <m/>
    <m/>
    <m/>
    <m/>
    <m/>
    <n v="0"/>
    <n v="0"/>
    <n v="0"/>
    <n v="0"/>
    <n v="-9.5307200000000005"/>
    <n v="-953072"/>
    <n v="0"/>
    <n v="0"/>
    <x v="0"/>
  </r>
  <r>
    <x v="194"/>
    <x v="0"/>
    <x v="1"/>
    <x v="3"/>
    <x v="15"/>
    <m/>
    <m/>
    <x v="0"/>
    <x v="18"/>
    <m/>
    <x v="18"/>
    <m/>
    <m/>
    <m/>
    <m/>
    <m/>
    <m/>
    <m/>
    <m/>
    <n v="0"/>
    <n v="0.73"/>
    <n v="0"/>
    <n v="0"/>
    <n v="0.73"/>
    <n v="73000"/>
    <n v="0"/>
    <n v="0"/>
    <x v="0"/>
  </r>
  <r>
    <x v="195"/>
    <x v="0"/>
    <x v="1"/>
    <x v="3"/>
    <x v="15"/>
    <m/>
    <m/>
    <x v="0"/>
    <x v="18"/>
    <m/>
    <x v="18"/>
    <m/>
    <m/>
    <m/>
    <m/>
    <m/>
    <m/>
    <m/>
    <m/>
    <n v="0"/>
    <n v="0.39100000000000001"/>
    <n v="0"/>
    <n v="2.4242599999999999"/>
    <n v="2.8152599999999999"/>
    <n v="281526"/>
    <n v="0"/>
    <n v="0"/>
    <x v="0"/>
  </r>
  <r>
    <x v="196"/>
    <x v="0"/>
    <x v="1"/>
    <x v="3"/>
    <x v="15"/>
    <m/>
    <m/>
    <x v="0"/>
    <x v="6"/>
    <m/>
    <x v="6"/>
    <m/>
    <m/>
    <m/>
    <m/>
    <m/>
    <m/>
    <m/>
    <m/>
    <n v="0"/>
    <m/>
    <n v="0.103044"/>
    <n v="0.1176036"/>
    <n v="0.2206476"/>
    <n v="22064.76"/>
    <n v="0.10976"/>
    <n v="16244.72"/>
    <x v="0"/>
  </r>
  <r>
    <x v="197"/>
    <x v="0"/>
    <x v="1"/>
    <x v="3"/>
    <x v="15"/>
    <m/>
    <m/>
    <x v="0"/>
    <x v="10"/>
    <m/>
    <x v="10"/>
    <m/>
    <m/>
    <m/>
    <m/>
    <m/>
    <m/>
    <m/>
    <m/>
    <n v="0"/>
    <m/>
    <n v="0"/>
    <n v="7.9596999999999998"/>
    <n v="7.9596999999999998"/>
    <n v="795970"/>
    <n v="0"/>
    <n v="0"/>
    <x v="0"/>
  </r>
  <r>
    <x v="198"/>
    <x v="0"/>
    <x v="1"/>
    <x v="3"/>
    <x v="15"/>
    <m/>
    <m/>
    <x v="0"/>
    <x v="26"/>
    <m/>
    <x v="26"/>
    <m/>
    <m/>
    <m/>
    <m/>
    <m/>
    <m/>
    <m/>
    <m/>
    <n v="0"/>
    <m/>
    <n v="4.1000000000000003E-3"/>
    <n v="0"/>
    <n v="4.1000000000000003E-3"/>
    <n v="410"/>
    <n v="0"/>
    <n v="0"/>
    <x v="0"/>
  </r>
  <r>
    <x v="199"/>
    <x v="1"/>
    <x v="0"/>
    <x v="1"/>
    <x v="16"/>
    <m/>
    <m/>
    <x v="0"/>
    <x v="4"/>
    <m/>
    <x v="4"/>
    <m/>
    <m/>
    <m/>
    <m/>
    <m/>
    <m/>
    <m/>
    <m/>
    <m/>
    <m/>
    <m/>
    <m/>
    <n v="0"/>
    <m/>
    <m/>
    <n v="-67797"/>
    <x v="0"/>
  </r>
  <r>
    <x v="200"/>
    <x v="2"/>
    <x v="1"/>
    <x v="3"/>
    <x v="15"/>
    <m/>
    <m/>
    <x v="0"/>
    <x v="15"/>
    <m/>
    <x v="15"/>
    <n v="-1.3782000000000001"/>
    <n v="-1.3781699999999999"/>
    <n v="-1.3781699999999999"/>
    <n v="-1.3781699999999999"/>
    <n v="-1.3781699999999999"/>
    <n v="-1.3781699999999999"/>
    <n v="-1.4826653999999999"/>
    <n v="-1.5740964"/>
    <n v="-1.5740964"/>
    <n v="-1.5740964"/>
    <n v="-1.5740964"/>
    <n v="-1.5740964"/>
    <n v="-17.622167399999999"/>
    <m/>
    <n v="-1.5740964"/>
    <n v="-157409.63999999998"/>
    <x v="0"/>
  </r>
  <r>
    <x v="201"/>
    <x v="2"/>
    <x v="1"/>
    <x v="3"/>
    <x v="15"/>
    <m/>
    <m/>
    <x v="0"/>
    <x v="11"/>
    <m/>
    <x v="11"/>
    <n v="-6.6050000000000004"/>
    <n v="-6.8252128079999999"/>
    <n v="-6.6050446530000002"/>
    <n v="-6.8252128079999999"/>
    <n v="-6.8252128079999999"/>
    <n v="-6.6050446530000002"/>
    <n v="-6.8252128079999999"/>
    <n v="-6.6050446530000002"/>
    <n v="-6.8252128079999999"/>
    <n v="-6.8252128079999999"/>
    <n v="-6.164708343"/>
    <n v="-6.8252128079999999"/>
    <n v="-80.361376612000001"/>
    <m/>
    <n v="-6.8252128079999999"/>
    <n v="-682521.28081000014"/>
    <x v="0"/>
  </r>
  <r>
    <x v="202"/>
    <x v="2"/>
    <x v="1"/>
    <x v="3"/>
    <x v="15"/>
    <m/>
    <m/>
    <x v="0"/>
    <x v="11"/>
    <m/>
    <x v="11"/>
    <n v="-0.2041"/>
    <n v="-0.21095096999999999"/>
    <n v="-0.2041461"/>
    <n v="-0.21095096999999999"/>
    <n v="-0.21095096999999999"/>
    <n v="-0.2041461"/>
    <n v="-0.21095096999999999"/>
    <n v="-0.2041461"/>
    <n v="-0.21095096999999999"/>
    <n v="-0.21095096999999999"/>
    <n v="-0.19053635999999999"/>
    <n v="-0.21095096999999999"/>
    <n v="-2.4837775500000001"/>
    <m/>
    <n v="0"/>
    <n v="0"/>
    <x v="0"/>
  </r>
  <r>
    <x v="203"/>
    <x v="3"/>
    <x v="2"/>
    <x v="3"/>
    <x v="15"/>
    <m/>
    <m/>
    <x v="0"/>
    <x v="24"/>
    <m/>
    <x v="24"/>
    <n v="7.6233000000000004"/>
    <n v="7.6233333329999997"/>
    <n v="7.6233333329999997"/>
    <n v="7.6233333329999997"/>
    <n v="7.6233333329999997"/>
    <n v="7.6233333329999997"/>
    <n v="7.6233333329999997"/>
    <n v="7.6233333329999997"/>
    <n v="7.6233333329999997"/>
    <n v="7.6233333329999997"/>
    <n v="7.6233333329999997"/>
    <n v="7.6233333329999997"/>
    <n v="91.48"/>
    <m/>
    <n v="15"/>
    <n v="1500000"/>
    <x v="0"/>
  </r>
  <r>
    <x v="204"/>
    <x v="3"/>
    <x v="2"/>
    <x v="3"/>
    <x v="15"/>
    <m/>
    <m/>
    <x v="0"/>
    <x v="8"/>
    <m/>
    <x v="8"/>
    <n v="10.0944"/>
    <n v="10.094408207000001"/>
    <n v="10.094408207000001"/>
    <n v="10.094408207000001"/>
    <n v="10.094408207000001"/>
    <n v="10.094408207000001"/>
    <n v="10.094408207000001"/>
    <n v="10.094408207000001"/>
    <n v="10.094408207000001"/>
    <n v="10.094408207000001"/>
    <n v="10.094408207000001"/>
    <n v="10.094408207000001"/>
    <n v="121.132898488"/>
    <m/>
    <n v="10.094408207000001"/>
    <n v="1009440.8207335887"/>
    <x v="0"/>
  </r>
  <r>
    <x v="205"/>
    <x v="3"/>
    <x v="2"/>
    <x v="3"/>
    <x v="15"/>
    <m/>
    <m/>
    <x v="0"/>
    <x v="6"/>
    <s v="Opening Stock"/>
    <x v="6"/>
    <n v="836.322"/>
    <n v="994.69312155600005"/>
    <n v="1059.0353902649999"/>
    <n v="1063.615311025"/>
    <n v="1044.18838218"/>
    <n v="1048.41872962"/>
    <n v="1021.46646714"/>
    <n v="1017.92690383"/>
    <n v="958.39613399999996"/>
    <n v="967.28656755999998"/>
    <n v="1006.6360128699999"/>
    <n v="975.65031110999996"/>
    <n v="836.32197215300005"/>
    <n v="0"/>
    <n v="999.71077060000005"/>
    <n v="99807032.421000004"/>
    <x v="0"/>
  </r>
  <r>
    <x v="206"/>
    <x v="3"/>
    <x v="2"/>
    <x v="3"/>
    <x v="15"/>
    <m/>
    <m/>
    <x v="0"/>
    <x v="6"/>
    <s v="Closing Stock"/>
    <x v="6"/>
    <n v="-994.69309999999996"/>
    <n v="-1059.0353902649999"/>
    <n v="-1063.615311025"/>
    <n v="-1044.18838218"/>
    <n v="-1048.41872962"/>
    <n v="-1021.46646714"/>
    <n v="-1017.92690383"/>
    <n v="-958.39613399999996"/>
    <n v="-967.28656755999998"/>
    <n v="-1006.6360128699999"/>
    <n v="-975.65031110999996"/>
    <n v="-999.71077060000005"/>
    <n v="-999.71077060000005"/>
    <n v="0"/>
    <n v="-998.07032420999997"/>
    <n v="-101401402.714"/>
    <x v="0"/>
  </r>
  <r>
    <x v="0"/>
    <x v="0"/>
    <x v="0"/>
    <x v="0"/>
    <x v="0"/>
    <s v="PHARMACY COLLECTION"/>
    <s v="PHARMACY REVENUE"/>
    <x v="1"/>
    <x v="1"/>
    <s v="OP Pharmacy"/>
    <x v="1"/>
    <n v="-1.23E-2"/>
    <n v="-6.241E-3"/>
    <n v="-4.6445999999999996E-3"/>
    <n v="-1.22875E-2"/>
    <n v="-8.8999999999999999E-3"/>
    <n v="-6.0635999999999997E-3"/>
    <n v="-2.7000000000000001E-3"/>
    <n v="0"/>
    <n v="-3.3890600000000002"/>
    <n v="-4.4999999999999997E-3"/>
    <n v="-3.3962599999999998"/>
    <n v="-7.1999999999999998E-3"/>
    <n v="-6.8501798000000003"/>
    <n v="-685017.98"/>
    <n v="-8.9999999999999998E-4"/>
    <n v="-154.43"/>
    <x v="0"/>
  </r>
  <r>
    <x v="1"/>
    <x v="0"/>
    <x v="0"/>
    <x v="0"/>
    <x v="0"/>
    <s v="PHARMACY COLLECTION"/>
    <s v="PHARMACY REVENUE"/>
    <x v="1"/>
    <x v="1"/>
    <s v="OP Pharmacy"/>
    <x v="1"/>
    <n v="-16.386199999999999"/>
    <n v="-14.169037400000001"/>
    <n v="-14.9941534"/>
    <n v="-18.076920399999999"/>
    <n v="-16.710221099999998"/>
    <n v="-19.417273099999999"/>
    <n v="-20.704719999999998"/>
    <n v="-17.966588600000001"/>
    <n v="-22.8526609"/>
    <n v="-18.152740099999999"/>
    <n v="-18.396318999999998"/>
    <n v="-19.095374799999998"/>
    <n v="-216.9222474"/>
    <n v="-21692224.739999998"/>
    <n v="-21.365085100000002"/>
    <n v="-1639455.93"/>
    <x v="0"/>
  </r>
  <r>
    <x v="207"/>
    <x v="0"/>
    <x v="0"/>
    <x v="0"/>
    <x v="0"/>
    <s v="LABORATORY &amp; DIAG. SERVICES"/>
    <s v="LAB COLLECTION"/>
    <x v="1"/>
    <x v="2"/>
    <s v="OP Revenue"/>
    <x v="2"/>
    <n v="0"/>
    <n v="1.77277"/>
    <n v="1.4733400000000001"/>
    <n v="1.68197"/>
    <n v="2.041064"/>
    <n v="2.2568079999999999"/>
    <n v="2.3718509999999999"/>
    <n v="2.06012"/>
    <n v="1.7006600000000001"/>
    <n v="1.4984999999999999"/>
    <n v="1.665335"/>
    <n v="1.7479899999999999"/>
    <n v="20.270408"/>
    <n v="2027040.8"/>
    <n v="1.893845"/>
    <n v="136588.22"/>
    <x v="0"/>
  </r>
  <r>
    <x v="2"/>
    <x v="0"/>
    <x v="0"/>
    <x v="0"/>
    <x v="0"/>
    <s v="OTHER HEALTHCARE SERVICES"/>
    <s v="CONSULTATION INCOME"/>
    <x v="1"/>
    <x v="2"/>
    <s v="OP Revenue"/>
    <x v="2"/>
    <n v="-8.3773999999999997"/>
    <n v="-7.5992217999999996"/>
    <n v="-7.9766000000000004"/>
    <n v="-9.8516054000000004"/>
    <n v="-10.401346999999999"/>
    <n v="-10.682251300000001"/>
    <n v="-10.022660800000001"/>
    <n v="-8.1662999999999997"/>
    <n v="-8.1418479000000001"/>
    <n v="-8.1874591999999993"/>
    <n v="-8.8565474000000002"/>
    <n v="-8.0950126000000004"/>
    <n v="-106.3583017"/>
    <n v="-10635830.17"/>
    <n v="-7.6867054000000001"/>
    <n v="-749070"/>
    <x v="0"/>
  </r>
  <r>
    <x v="3"/>
    <x v="0"/>
    <x v="0"/>
    <x v="0"/>
    <x v="0"/>
    <s v="OTHER HEALTHCARE SERVICES"/>
    <s v="OP COLLECTION"/>
    <x v="1"/>
    <x v="2"/>
    <s v="OP Revenue"/>
    <x v="2"/>
    <n v="-3.5491000000000001"/>
    <n v="-4.4596781999999999"/>
    <n v="-5.9778000000000002"/>
    <n v="-5.1061946000000002"/>
    <n v="-5.8986729999999996"/>
    <n v="-4.2221487"/>
    <n v="-4.8436392000000001"/>
    <n v="-5.9039999999999999"/>
    <n v="-4.1259521000000001"/>
    <n v="-3.8548407999999998"/>
    <n v="-6.3347525999999998"/>
    <n v="-4.8156873999999998"/>
    <n v="-59.092508299999999"/>
    <n v="-5909250.8300000001"/>
    <n v="-4.0801945999999996"/>
    <n v="-471660"/>
    <x v="0"/>
  </r>
  <r>
    <x v="193"/>
    <x v="0"/>
    <x v="0"/>
    <x v="1"/>
    <x v="3"/>
    <s v="INTEREST RECCEIVED"/>
    <s v="INTEREST RECCEIVED"/>
    <x v="1"/>
    <x v="4"/>
    <m/>
    <x v="4"/>
    <n v="0"/>
    <n v="0"/>
    <n v="0"/>
    <n v="-0.38090000000000002"/>
    <n v="0"/>
    <n v="0"/>
    <n v="0"/>
    <n v="0"/>
    <n v="0"/>
    <n v="0"/>
    <n v="0"/>
    <n v="0"/>
    <n v="-0.38090000000000002"/>
    <n v="-38090"/>
    <n v="0"/>
    <n v="0"/>
    <x v="0"/>
  </r>
  <r>
    <x v="14"/>
    <x v="0"/>
    <x v="0"/>
    <x v="1"/>
    <x v="4"/>
    <s v="MISCELLANEOUS RECEIPTS"/>
    <s v="MISCELLANEOUS RECEIPTS"/>
    <x v="1"/>
    <x v="4"/>
    <s v="Miscellaneous Receipts"/>
    <x v="4"/>
    <n v="0"/>
    <n v="0"/>
    <n v="0"/>
    <n v="-0.29019"/>
    <n v="-0.11326"/>
    <n v="-0.11461"/>
    <n v="-0.12259"/>
    <n v="-0.13442999999999999"/>
    <n v="-0.12834000000000001"/>
    <n v="-9.3950000000000006E-2"/>
    <n v="-0.10104"/>
    <n v="-9.6180000000000002E-2"/>
    <n v="-1.19459"/>
    <n v="-119459"/>
    <n v="-6.7280000000000006E-2"/>
    <n v="-11769"/>
    <x v="0"/>
  </r>
  <r>
    <x v="16"/>
    <x v="0"/>
    <x v="0"/>
    <x v="1"/>
    <x v="4"/>
    <s v="MISCELLANEOUS RECEIPTS"/>
    <s v="MISCELLANEOUS RECEIPTS"/>
    <x v="1"/>
    <x v="4"/>
    <s v="Miscellaneous Receipts"/>
    <x v="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9"/>
    <x v="0"/>
    <x v="1"/>
    <x v="2"/>
    <x v="9"/>
    <s v="PURCHASE-MEDICAL STORE"/>
    <s v="PURCHASE-MEDICAL STORE"/>
    <x v="1"/>
    <x v="6"/>
    <s v="Medicines and consumables"/>
    <x v="6"/>
    <n v="7.8587999999999996"/>
    <n v="11.4839123"/>
    <n v="10.262171199999999"/>
    <n v="12.1317263"/>
    <n v="10.3219469"/>
    <n v="13.645087"/>
    <n v="16.368012"/>
    <n v="13.9848949"/>
    <n v="18.207634899999999"/>
    <n v="12.0184544"/>
    <n v="18.953892400000001"/>
    <n v="27.448702300000001"/>
    <n v="172.6852562"/>
    <n v="17268525.620000001"/>
    <n v="11.0920611"/>
    <n v="1108339.18"/>
    <x v="0"/>
  </r>
  <r>
    <x v="30"/>
    <x v="0"/>
    <x v="1"/>
    <x v="2"/>
    <x v="9"/>
    <s v="PURCHASE-GENERAL STORE"/>
    <s v="PURCHASE-GENERAL STORE"/>
    <x v="1"/>
    <x v="6"/>
    <s v="Medicines and consumables"/>
    <x v="6"/>
    <n v="0"/>
    <n v="0"/>
    <n v="0"/>
    <n v="3.9768199999999997E-2"/>
    <n v="0"/>
    <n v="0"/>
    <n v="0.13513249999999999"/>
    <n v="0"/>
    <n v="0.25356000000000001"/>
    <n v="5.7099999999999998E-3"/>
    <n v="0"/>
    <n v="4.4117999999999996E-3"/>
    <n v="0.43858249999999999"/>
    <n v="43858.25"/>
    <n v="5.4237800000000003E-2"/>
    <n v="0"/>
    <x v="0"/>
  </r>
  <r>
    <x v="196"/>
    <x v="0"/>
    <x v="1"/>
    <x v="2"/>
    <x v="9"/>
    <s v="PURCHASE-GENERAL STORE"/>
    <s v="PURCHASE-GENERAL STORE"/>
    <x v="1"/>
    <x v="6"/>
    <m/>
    <x v="6"/>
    <n v="0"/>
    <n v="0"/>
    <n v="0"/>
    <n v="0"/>
    <n v="2.4299999999999999E-2"/>
    <n v="0"/>
    <n v="4.13E-3"/>
    <n v="0"/>
    <n v="0"/>
    <n v="0"/>
    <n v="3.0000000000000001E-3"/>
    <n v="0"/>
    <n v="3.143E-2"/>
    <n v="3143"/>
    <n v="0"/>
    <n v="420"/>
    <x v="0"/>
  </r>
  <r>
    <x v="33"/>
    <x v="0"/>
    <x v="1"/>
    <x v="2"/>
    <x v="9"/>
    <s v="PURCHASE-GENERAL STORE"/>
    <s v="PURCHASE-GENERAL STORE"/>
    <x v="1"/>
    <x v="6"/>
    <s v="Medicines and consumables"/>
    <x v="6"/>
    <n v="0"/>
    <n v="7.6699999999999997E-3"/>
    <n v="7.6699999999999997E-3"/>
    <n v="9.0699999999999999E-3"/>
    <n v="0"/>
    <n v="9.41E-3"/>
    <n v="2.98975E-2"/>
    <n v="0"/>
    <n v="1.601E-2"/>
    <n v="1.013E-2"/>
    <n v="0"/>
    <n v="1.2760000000000001E-2"/>
    <n v="0.1026175"/>
    <n v="10261.75"/>
    <n v="0"/>
    <n v="0"/>
    <x v="0"/>
  </r>
  <r>
    <x v="39"/>
    <x v="0"/>
    <x v="1"/>
    <x v="2"/>
    <x v="10"/>
    <s v="CONCESSION &amp; FREE"/>
    <s v="CONCESSION &amp; FREE"/>
    <x v="1"/>
    <x v="2"/>
    <s v="OP Revenue"/>
    <x v="2"/>
    <n v="4.4999999999999997E-3"/>
    <n v="1.2947"/>
    <n v="2.5279001000000001"/>
    <n v="0.80420000000000003"/>
    <n v="1.6867999"/>
    <n v="1.24329E-2"/>
    <n v="0.59770000000000001"/>
    <n v="1.5454000000000001"/>
    <n v="2.0999999999999999E-3"/>
    <n v="1.5570000000000001E-2"/>
    <n v="1.7527999999999999"/>
    <n v="0.55905000000000005"/>
    <n v="10.803133000000001"/>
    <n v="1080313.3"/>
    <n v="0.70899999999999996"/>
    <n v="17070"/>
    <x v="0"/>
  </r>
  <r>
    <x v="44"/>
    <x v="0"/>
    <x v="1"/>
    <x v="2"/>
    <x v="10"/>
    <s v="CONCESSION &amp; FREE"/>
    <s v="CONCESSION &amp; FREE"/>
    <x v="1"/>
    <x v="2"/>
    <s v="OP Revenue"/>
    <x v="2"/>
    <n v="1.6400000000000001E-2"/>
    <n v="1.3299999999999999E-2"/>
    <n v="2.3E-2"/>
    <n v="1.0699999999999999E-2"/>
    <n v="1.2E-2"/>
    <n v="4.0737200000000001E-2"/>
    <n v="1.7299999999999999E-2"/>
    <n v="7.7999999999999996E-3"/>
    <n v="8.0000000000000002E-3"/>
    <n v="1.5800000000000002E-2"/>
    <n v="5.04E-2"/>
    <n v="3.0000000000000001E-3"/>
    <n v="0.2184372"/>
    <n v="21843.72"/>
    <n v="4.4999999999999997E-3"/>
    <n v="0"/>
    <x v="0"/>
  </r>
  <r>
    <x v="45"/>
    <x v="0"/>
    <x v="1"/>
    <x v="2"/>
    <x v="10"/>
    <s v="CONCESSION &amp; FREE"/>
    <s v="CONCESSION &amp; FREE"/>
    <x v="1"/>
    <x v="1"/>
    <s v="OP Pharmacy"/>
    <x v="1"/>
    <n v="0"/>
    <n v="3.4799999999999999E-5"/>
    <n v="1.8000000000000001E-4"/>
    <n v="1.596E-4"/>
    <n v="2.2499999999999999E-4"/>
    <n v="2.2499999999999999E-4"/>
    <n v="9.0000000000000006E-5"/>
    <n v="0"/>
    <n v="4.5000000000000003E-5"/>
    <n v="4.5000000000000003E-5"/>
    <n v="2.7E-4"/>
    <n v="1.395E-4"/>
    <n v="1.4487E-3"/>
    <n v="144.87"/>
    <n v="4.5000000000000003E-5"/>
    <n v="4.5"/>
    <x v="0"/>
  </r>
  <r>
    <x v="46"/>
    <x v="0"/>
    <x v="1"/>
    <x v="2"/>
    <x v="10"/>
    <s v="CONCESSION &amp; FREE"/>
    <s v="CONCESSION &amp; FREE"/>
    <x v="1"/>
    <x v="1"/>
    <s v="OP Pharmacy"/>
    <x v="1"/>
    <n v="2.46E-2"/>
    <n v="3.1420299999999998E-2"/>
    <n v="1.3417E-2"/>
    <n v="4.3195400000000002E-2"/>
    <n v="2.27212E-2"/>
    <n v="4.1835600000000001E-2"/>
    <n v="3.6410999999999999E-2"/>
    <n v="1.8463899999999998E-2"/>
    <n v="2.9334499999999999E-2"/>
    <n v="3.08604E-2"/>
    <n v="3.2965700000000001E-2"/>
    <n v="2.9319700000000001E-2"/>
    <n v="0.35457359999999999"/>
    <n v="35457.360000000001"/>
    <n v="2.31027E-2"/>
    <n v="3279.2000000000003"/>
    <x v="0"/>
  </r>
  <r>
    <x v="208"/>
    <x v="0"/>
    <x v="1"/>
    <x v="2"/>
    <x v="10"/>
    <s v="CONCESSION &amp; FREE"/>
    <s v="CONCESSION &amp; FREE"/>
    <x v="1"/>
    <x v="2"/>
    <s v="OP Revenue"/>
    <x v="2"/>
    <n v="0"/>
    <n v="0"/>
    <n v="0"/>
    <n v="0"/>
    <n v="0"/>
    <n v="2.4299999999999999E-2"/>
    <n v="0"/>
    <n v="0"/>
    <n v="0"/>
    <n v="0"/>
    <n v="0"/>
    <n v="0"/>
    <n v="2.4299999999999999E-2"/>
    <n v="2430"/>
    <n v="0"/>
    <n v="0"/>
    <x v="0"/>
  </r>
  <r>
    <x v="209"/>
    <x v="0"/>
    <x v="1"/>
    <x v="2"/>
    <x v="11"/>
    <s v="PURCHASES-ASSETS (STORE)"/>
    <s v="PURCHASES-ASSETS (STORE)"/>
    <x v="1"/>
    <x v="2"/>
    <s v="OP Revenue"/>
    <x v="2"/>
    <n v="0"/>
    <n v="5.3199999999999997E-2"/>
    <n v="0"/>
    <n v="0"/>
    <n v="0"/>
    <n v="0"/>
    <n v="0"/>
    <n v="0"/>
    <n v="0"/>
    <n v="0.36655969999999999"/>
    <n v="4.9900399999999998E-2"/>
    <n v="3.4000000000000002E-2"/>
    <n v="0.50366010000000005"/>
    <n v="50366.01"/>
    <n v="0"/>
    <n v="0"/>
    <x v="0"/>
  </r>
  <r>
    <x v="53"/>
    <x v="0"/>
    <x v="1"/>
    <x v="2"/>
    <x v="12"/>
    <s v="SALARIES &amp; WAGES"/>
    <s v="SALARY TO DOCTORS"/>
    <x v="1"/>
    <x v="9"/>
    <s v="Salary to Doctors"/>
    <x v="9"/>
    <n v="0.88329999999999997"/>
    <n v="1"/>
    <n v="0.5"/>
    <n v="0.5"/>
    <n v="0.93710000000000004"/>
    <n v="1.0742"/>
    <n v="1.05"/>
    <n v="0.55000000000000004"/>
    <n v="0.55000000000000004"/>
    <n v="0.98224"/>
    <n v="0.99373999999999996"/>
    <n v="0.54112000000000005"/>
    <n v="9.5617300000000007"/>
    <n v="956173"/>
    <n v="0.55000000000000004"/>
    <n v="195913"/>
    <x v="0"/>
  </r>
  <r>
    <x v="56"/>
    <x v="0"/>
    <x v="1"/>
    <x v="2"/>
    <x v="12"/>
    <s v="SALARIES &amp; WAGES"/>
    <s v="SALARIES &amp; ALLOWANCES"/>
    <x v="1"/>
    <x v="8"/>
    <s v="Salaries &amp; Allowances"/>
    <x v="8"/>
    <n v="5.2346000000000004"/>
    <n v="5.6883699999999999"/>
    <n v="5.5812400000000002"/>
    <n v="5.7266199999999996"/>
    <n v="5.6985799999999998"/>
    <n v="5.8510600000000004"/>
    <n v="6.3092800000000002"/>
    <n v="5.7535299999999996"/>
    <n v="6.1442399999999999"/>
    <n v="6.21671"/>
    <n v="6.2116499999999997"/>
    <n v="6.1008800000000001"/>
    <n v="70.516800000000003"/>
    <n v="7051680"/>
    <n v="6.0602799999999997"/>
    <n v="579101"/>
    <x v="0"/>
  </r>
  <r>
    <x v="65"/>
    <x v="0"/>
    <x v="1"/>
    <x v="2"/>
    <x v="12"/>
    <s v="STAFF WELFARE EXPENSES"/>
    <s v="STAFF WELFARE EXPENSES"/>
    <x v="1"/>
    <x v="8"/>
    <s v="Staff welfare expenses"/>
    <x v="8"/>
    <n v="0"/>
    <n v="0.214"/>
    <n v="0.28710000000000002"/>
    <n v="0.33814"/>
    <n v="0.3513"/>
    <n v="0.1"/>
    <n v="0.31072"/>
    <n v="0.33983999999999998"/>
    <n v="0.23388"/>
    <n v="0.17065"/>
    <n v="0.17584"/>
    <n v="0.19955999999999999"/>
    <n v="2.7210299999999998"/>
    <n v="272103"/>
    <n v="0.17741999999999999"/>
    <n v="17950"/>
    <x v="0"/>
  </r>
  <r>
    <x v="66"/>
    <x v="0"/>
    <x v="1"/>
    <x v="2"/>
    <x v="13"/>
    <s v="BANK CHARGES"/>
    <s v="BANK CHARGES"/>
    <x v="1"/>
    <x v="10"/>
    <s v="Bank Charges"/>
    <x v="10"/>
    <n v="3.7000000000000002E-3"/>
    <n v="4.4901000000000003E-2"/>
    <n v="4.0676799999999999E-2"/>
    <n v="6.9667800000000002E-2"/>
    <n v="6.4759999999999998E-2"/>
    <n v="6.6553399999999999E-2"/>
    <n v="6.7904300000000001E-2"/>
    <n v="8.5387400000000002E-2"/>
    <n v="6.0696100000000003E-2"/>
    <n v="6.2041300000000001E-2"/>
    <n v="8.1007499999999996E-2"/>
    <n v="7.8767100000000007E-2"/>
    <n v="0.72610209999999997"/>
    <n v="72610.210000000006"/>
    <n v="3.5487699999999997E-2"/>
    <n v="4546.26"/>
    <x v="0"/>
  </r>
  <r>
    <x v="67"/>
    <x v="0"/>
    <x v="1"/>
    <x v="2"/>
    <x v="13"/>
    <s v="BANK CHARGES"/>
    <s v="BANK CHARGES"/>
    <x v="1"/>
    <x v="10"/>
    <s v="Bank Charges"/>
    <x v="10"/>
    <n v="8.9999999999999998E-4"/>
    <n v="1.7393200000000001E-2"/>
    <n v="1.7428599999999999E-2"/>
    <n v="1.7428599999999999E-2"/>
    <n v="1.7487599999999999E-2"/>
    <n v="1.7520299999999999E-2"/>
    <n v="1.73578E-2"/>
    <n v="1.7486499999999999E-2"/>
    <n v="1.7440400000000002E-2"/>
    <n v="1.74208E-2"/>
    <n v="1.7405E-2"/>
    <n v="5.1381499999999997E-2"/>
    <n v="0.22664709999999999"/>
    <n v="22664.71"/>
    <n v="1.7428599999999999E-2"/>
    <n v="1732.24"/>
    <x v="0"/>
  </r>
  <r>
    <x v="69"/>
    <x v="0"/>
    <x v="1"/>
    <x v="2"/>
    <x v="14"/>
    <s v="POWER,FUEL &amp; WATER CHARGES"/>
    <s v="FUEL CHARGES"/>
    <x v="1"/>
    <x v="11"/>
    <s v="Fuel Charges"/>
    <x v="11"/>
    <n v="0.1158"/>
    <n v="0.17188999999999999"/>
    <n v="0.1041485"/>
    <n v="0.23383000000000001"/>
    <n v="0.14951"/>
    <n v="7.8740000000000004E-2"/>
    <n v="0.14732999999999999"/>
    <n v="0.17214579999999999"/>
    <n v="7.4256199999999994E-2"/>
    <n v="0.15048"/>
    <n v="9.1800000000000007E-2"/>
    <n v="0.1056"/>
    <n v="1.5955408"/>
    <n v="159554.07999999999"/>
    <n v="0.15736049999999999"/>
    <n v="8756"/>
    <x v="0"/>
  </r>
  <r>
    <x v="71"/>
    <x v="0"/>
    <x v="1"/>
    <x v="2"/>
    <x v="14"/>
    <s v="POWER,FUEL &amp; WATER CHARGES"/>
    <s v="WATER CHARGES"/>
    <x v="1"/>
    <x v="11"/>
    <s v="Water Charges"/>
    <x v="11"/>
    <n v="0"/>
    <n v="6.5240000000000006E-2"/>
    <n v="0"/>
    <n v="6.0499999999999998E-3"/>
    <n v="0"/>
    <n v="7.0400000000000003E-3"/>
    <n v="0"/>
    <n v="5.77E-3"/>
    <n v="0"/>
    <n v="6.4099999999999999E-3"/>
    <n v="0"/>
    <n v="1.1440000000000001E-2"/>
    <n v="0.10195"/>
    <n v="10195"/>
    <n v="0"/>
    <n v="0"/>
    <x v="0"/>
  </r>
  <r>
    <x v="72"/>
    <x v="0"/>
    <x v="1"/>
    <x v="2"/>
    <x v="14"/>
    <s v="POWER,FUEL &amp; WATER CHARGES"/>
    <s v="ELECTRICITY CHARGES"/>
    <x v="1"/>
    <x v="11"/>
    <s v="Electricity Charges"/>
    <x v="11"/>
    <n v="1.4422999999999999"/>
    <n v="1.3704000000000001"/>
    <n v="1.18706"/>
    <n v="1.28366"/>
    <n v="1.2530600000000001"/>
    <n v="1.3446199999999999"/>
    <n v="1.38978"/>
    <n v="1.3472999999999999"/>
    <n v="1.29399"/>
    <n v="1.2486900000000001"/>
    <n v="1.2773600000000001"/>
    <n v="1.27335"/>
    <n v="15.71158"/>
    <n v="1571158"/>
    <n v="1.4407399999999999"/>
    <n v="154207"/>
    <x v="0"/>
  </r>
  <r>
    <x v="75"/>
    <x v="0"/>
    <x v="1"/>
    <x v="2"/>
    <x v="14"/>
    <s v="CONSULTANCY CHARGES"/>
    <s v="CONSULTATION &amp; PROF. FEE DOCTORS"/>
    <x v="1"/>
    <x v="9"/>
    <s v="Consultation &amp; Professional Fee Doctors"/>
    <x v="9"/>
    <n v="6.65"/>
    <n v="6.65"/>
    <n v="6.65"/>
    <n v="6.75"/>
    <n v="6.75"/>
    <n v="6.75"/>
    <n v="6.75"/>
    <n v="6.75"/>
    <n v="6.6919399999999998"/>
    <n v="5.0022500000000001"/>
    <n v="6.2854839"/>
    <n v="6.6214285999999998"/>
    <n v="78.301102499999999"/>
    <n v="7830110.25"/>
    <n v="6.6919354999999996"/>
    <n v="843000"/>
    <x v="0"/>
  </r>
  <r>
    <x v="77"/>
    <x v="0"/>
    <x v="1"/>
    <x v="2"/>
    <x v="14"/>
    <s v="CONSULTANCY CHARGES"/>
    <s v="CONSULTAION&amp;PROF.FEE VISIT DOCTORS"/>
    <x v="1"/>
    <x v="9"/>
    <s v="Consultation &amp; Professional Fee-Visiting Doc"/>
    <x v="9"/>
    <n v="2.8965999999999998"/>
    <n v="2.7019000000000002"/>
    <n v="2.77"/>
    <n v="4.5955700000000004"/>
    <n v="3.7879"/>
    <n v="4.0164999999999997"/>
    <n v="3.3902999999999999"/>
    <n v="3.3797000000000001"/>
    <n v="3.4016000000000002"/>
    <n v="3.2612000000000001"/>
    <n v="3.5739999999999998"/>
    <n v="2.9535999999999998"/>
    <n v="40.728870000000001"/>
    <n v="4072887"/>
    <n v="3.32"/>
    <n v="295530"/>
    <x v="0"/>
  </r>
  <r>
    <x v="78"/>
    <x v="0"/>
    <x v="1"/>
    <x v="2"/>
    <x v="14"/>
    <s v="LAUNDRY,SANITA.&amp; HOUSEKEEPING EXP"/>
    <s v="LAUNDRY,SANITA.&amp; HOUSEKEEPING EXP"/>
    <x v="1"/>
    <x v="13"/>
    <s v="House Keeping"/>
    <x v="13"/>
    <n v="0.89370000000000005"/>
    <n v="0.88393999999999995"/>
    <n v="0.74741000000000002"/>
    <n v="0.81889999999999996"/>
    <n v="0.86080000000000001"/>
    <n v="0.88900599999999996"/>
    <n v="0.88900599999999996"/>
    <n v="0.88900599999999996"/>
    <n v="0.88900599999999996"/>
    <n v="0.89166000000000001"/>
    <n v="0.89680000000000004"/>
    <n v="1.589971"/>
    <n v="11.139165"/>
    <n v="1128109.7"/>
    <n v="0.61436000000000002"/>
    <n v="79835"/>
    <x v="0"/>
  </r>
  <r>
    <x v="79"/>
    <x v="0"/>
    <x v="1"/>
    <x v="2"/>
    <x v="14"/>
    <s v="LAUNDRY,SANITA.&amp; HOUSEKEEPING EXP"/>
    <s v="LAUNDRY,SANITA.&amp; HOUSEKEEPING EXP"/>
    <x v="1"/>
    <x v="13"/>
    <s v="Laundry expense"/>
    <x v="13"/>
    <n v="0"/>
    <n v="7.2150000000000006E-2"/>
    <n v="7.2749999999999995E-2"/>
    <n v="0.1409"/>
    <n v="7.7549999999999994E-2"/>
    <n v="9.0149999999999994E-2"/>
    <n v="8.5500000000000007E-2"/>
    <n v="0"/>
    <n v="0"/>
    <n v="0.41609000000000002"/>
    <n v="0.11990000000000001"/>
    <n v="9.1889999999999999E-2"/>
    <n v="1.1668799999999999"/>
    <n v="116688"/>
    <n v="0.12034"/>
    <n v="12562"/>
    <x v="0"/>
  </r>
  <r>
    <x v="80"/>
    <x v="0"/>
    <x v="1"/>
    <x v="2"/>
    <x v="14"/>
    <s v="LAUNDRY,SANITA.&amp; HOUSEKEEPING EXP"/>
    <s v="LAUNDRY,SANITA.&amp; HOUSEKEEPING EXP"/>
    <x v="1"/>
    <x v="13"/>
    <s v="House Keeping"/>
    <x v="13"/>
    <n v="0"/>
    <n v="3.2129999999999999E-2"/>
    <n v="4.0579999999999998E-2"/>
    <n v="0.19189999999999999"/>
    <n v="0.18792239999999999"/>
    <n v="1.1679999999999999E-2"/>
    <n v="4.3229999999999998E-2"/>
    <n v="0.10484"/>
    <n v="9.8089999999999997E-2"/>
    <n v="0.19081000000000001"/>
    <n v="7.9089999999999994E-2"/>
    <n v="2.1129999999999999E-2"/>
    <n v="1.0014023999999999"/>
    <n v="100140.24"/>
    <n v="5.7439999999999998E-2"/>
    <n v="7109"/>
    <x v="0"/>
  </r>
  <r>
    <x v="84"/>
    <x v="0"/>
    <x v="1"/>
    <x v="2"/>
    <x v="14"/>
    <s v="RENT"/>
    <s v="RENT"/>
    <x v="1"/>
    <x v="15"/>
    <s v="Rent Paid"/>
    <x v="15"/>
    <n v="0.23599999999999999"/>
    <n v="0.23599999999999999"/>
    <n v="0.23599999999999999"/>
    <n v="0.24"/>
    <n v="0.28320000000000001"/>
    <n v="0.28320000000000001"/>
    <n v="0.28320000000000001"/>
    <n v="0.28320000000000001"/>
    <n v="0.31319999999999998"/>
    <n v="0.28320000000000001"/>
    <n v="0.28320000000000001"/>
    <n v="0.33839999999999998"/>
    <n v="3.2988"/>
    <n v="329880"/>
    <n v="0.28320000000000001"/>
    <n v="24000"/>
    <x v="0"/>
  </r>
  <r>
    <x v="85"/>
    <x v="0"/>
    <x v="1"/>
    <x v="2"/>
    <x v="14"/>
    <s v="REPAIRS"/>
    <s v="BUILDING"/>
    <x v="1"/>
    <x v="16"/>
    <s v="Repairs-Building"/>
    <x v="16"/>
    <n v="0"/>
    <n v="0"/>
    <n v="0"/>
    <n v="0"/>
    <n v="0"/>
    <n v="0"/>
    <n v="0"/>
    <n v="0"/>
    <n v="0"/>
    <n v="0"/>
    <n v="8.3050799999999994E-2"/>
    <n v="0"/>
    <n v="8.3050799999999994E-2"/>
    <n v="8305.08"/>
    <n v="0"/>
    <n v="0"/>
    <x v="0"/>
  </r>
  <r>
    <x v="89"/>
    <x v="0"/>
    <x v="1"/>
    <x v="2"/>
    <x v="14"/>
    <s v="REPAIRS"/>
    <s v="MACHINERY"/>
    <x v="1"/>
    <x v="16"/>
    <s v="Repair to Medical Equipment"/>
    <x v="16"/>
    <n v="0"/>
    <n v="0"/>
    <n v="1.023075"/>
    <n v="0.85"/>
    <n v="0"/>
    <n v="0"/>
    <n v="0.28960999999999998"/>
    <n v="0.12873000000000001"/>
    <n v="0.12873000000000001"/>
    <n v="0.65025480000000002"/>
    <n v="0.38947999999999999"/>
    <n v="1.1587388000000001"/>
    <n v="4.6186185999999996"/>
    <n v="461861.86"/>
    <n v="0.46373700000000001"/>
    <n v="47050.66"/>
    <x v="0"/>
  </r>
  <r>
    <x v="97"/>
    <x v="0"/>
    <x v="1"/>
    <x v="2"/>
    <x v="14"/>
    <s v="REPAIRS"/>
    <s v="OTHERS"/>
    <x v="1"/>
    <x v="16"/>
    <s v="Repair to Other Equipment"/>
    <x v="16"/>
    <n v="0"/>
    <n v="0.10705000000000001"/>
    <n v="0.25158999999999998"/>
    <n v="9.9510000000000001E-2"/>
    <n v="6.3009999999999997E-2"/>
    <n v="0.20472000000000001"/>
    <n v="4.9279999999999997E-2"/>
    <n v="1.2422899999999999"/>
    <n v="0.15911"/>
    <n v="7.1279999999999996E-2"/>
    <n v="0.10226"/>
    <n v="2.3719800000000002"/>
    <n v="4.7220800000000001"/>
    <n v="472208"/>
    <n v="2.6556460999999998"/>
    <n v="543"/>
    <x v="0"/>
  </r>
  <r>
    <x v="98"/>
    <x v="0"/>
    <x v="1"/>
    <x v="2"/>
    <x v="14"/>
    <s v="REPAIRS"/>
    <s v="OTHERS"/>
    <x v="1"/>
    <x v="16"/>
    <s v="Repair to Other Equipment"/>
    <x v="16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01"/>
    <x v="0"/>
    <x v="1"/>
    <x v="2"/>
    <x v="14"/>
    <s v="INSURANCE"/>
    <s v="INSURANCE"/>
    <x v="1"/>
    <x v="17"/>
    <s v="Insurance for Lift"/>
    <x v="17"/>
    <n v="0"/>
    <n v="0"/>
    <n v="0"/>
    <n v="0"/>
    <n v="0"/>
    <n v="0"/>
    <n v="0"/>
    <n v="2.9499999999999998E-2"/>
    <n v="0"/>
    <n v="0"/>
    <n v="0"/>
    <n v="0"/>
    <n v="2.9499999999999998E-2"/>
    <n v="2950"/>
    <n v="0"/>
    <n v="0"/>
    <x v="0"/>
  </r>
  <r>
    <x v="102"/>
    <x v="0"/>
    <x v="1"/>
    <x v="2"/>
    <x v="14"/>
    <s v="INSURANCE"/>
    <s v="INSURANCE"/>
    <x v="1"/>
    <x v="17"/>
    <s v="Insurance for Others"/>
    <x v="17"/>
    <n v="0.14729999999999999"/>
    <n v="0"/>
    <n v="0"/>
    <n v="0"/>
    <n v="0"/>
    <n v="0.71411999999999998"/>
    <n v="0"/>
    <n v="0"/>
    <n v="0"/>
    <n v="-0.41657"/>
    <n v="5.9589999999999997E-2"/>
    <n v="5.951E-2"/>
    <n v="0.56391999999999998"/>
    <n v="56392"/>
    <n v="5.951E-2"/>
    <n v="5951"/>
    <x v="0"/>
  </r>
  <r>
    <x v="103"/>
    <x v="0"/>
    <x v="1"/>
    <x v="2"/>
    <x v="14"/>
    <s v="INSURANCE"/>
    <s v="INSURANCE"/>
    <x v="1"/>
    <x v="17"/>
    <s v="Insurance for Vehicle"/>
    <x v="17"/>
    <n v="0"/>
    <n v="0"/>
    <n v="0.15669"/>
    <n v="0"/>
    <n v="0"/>
    <n v="6.0580000000000002E-2"/>
    <n v="2.0193300000000001E-2"/>
    <n v="0"/>
    <n v="2.0193300000000001E-2"/>
    <n v="2.0193300000000001E-2"/>
    <n v="2.0193300000000001E-2"/>
    <n v="2.2713299999999999E-2"/>
    <n v="0.3207565"/>
    <n v="32075.65"/>
    <n v="1.4999999999999999E-2"/>
    <n v="1561"/>
    <x v="0"/>
  </r>
  <r>
    <x v="105"/>
    <x v="0"/>
    <x v="1"/>
    <x v="2"/>
    <x v="14"/>
    <s v="RATES &amp; TAXES"/>
    <s v="RATES &amp; TAXES"/>
    <x v="1"/>
    <x v="18"/>
    <s v="Licence Fee"/>
    <x v="18"/>
    <n v="0"/>
    <n v="0"/>
    <n v="5.92875E-2"/>
    <n v="0"/>
    <n v="0"/>
    <n v="5.92875E-2"/>
    <n v="1.9762499999999999E-2"/>
    <n v="1.9762499999999999E-2"/>
    <n v="1.9762499999999999E-2"/>
    <n v="1.9762499999999999E-2"/>
    <n v="1.9762499999999999E-2"/>
    <n v="1.9762499999999999E-2"/>
    <n v="0.23715"/>
    <n v="23715"/>
    <n v="1.9762499999999999E-2"/>
    <n v="1976.25"/>
    <x v="0"/>
  </r>
  <r>
    <x v="106"/>
    <x v="0"/>
    <x v="1"/>
    <x v="2"/>
    <x v="14"/>
    <s v="RATES &amp; TAXES"/>
    <s v="RATES &amp; TAXES"/>
    <x v="1"/>
    <x v="18"/>
    <s v="Rates &amp; taxes"/>
    <x v="18"/>
    <n v="6.4799999999999996E-2"/>
    <n v="3.2299999999999998E-3"/>
    <n v="0"/>
    <n v="0"/>
    <n v="2E-3"/>
    <n v="0"/>
    <n v="0"/>
    <n v="0"/>
    <n v="0"/>
    <n v="1E-3"/>
    <n v="0"/>
    <n v="5.7500000000000002E-2"/>
    <n v="0.12853000000000001"/>
    <n v="12853"/>
    <n v="0.22500000000000001"/>
    <n v="800"/>
    <x v="0"/>
  </r>
  <r>
    <x v="120"/>
    <x v="0"/>
    <x v="1"/>
    <x v="2"/>
    <x v="14"/>
    <s v="MISCELLANEOUS EXPENSES"/>
    <s v="MISCELLANEOUS EXPENSES"/>
    <x v="1"/>
    <x v="7"/>
    <s v="Others"/>
    <x v="7"/>
    <n v="-4.0000000000000002E-4"/>
    <n v="-1.9039999999999999E-4"/>
    <n v="-2.5329999999999998E-4"/>
    <n v="-3.6069999999999999E-4"/>
    <n v="-3.6939999999999998E-4"/>
    <n v="-1.8819999999999999E-4"/>
    <n v="-3.9760000000000002E-4"/>
    <n v="6.5500000000000006E-5"/>
    <n v="-1.5779999999999999E-4"/>
    <n v="2.3499999999999999E-5"/>
    <n v="1.8799999999999999E-4"/>
    <n v="4.6519999999999998E-4"/>
    <n v="-1.5828000000000001E-3"/>
    <n v="-158.28"/>
    <n v="-5.9080000000000005E-4"/>
    <n v="-21.989999999999995"/>
    <x v="0"/>
  </r>
  <r>
    <x v="122"/>
    <x v="0"/>
    <x v="1"/>
    <x v="2"/>
    <x v="14"/>
    <s v="MISCELLANEOUS EXPENSES"/>
    <s v="MISCELLANEOUS EXPENSES"/>
    <x v="1"/>
    <x v="7"/>
    <s v="Subscription to Cable T V"/>
    <x v="7"/>
    <n v="0"/>
    <n v="0"/>
    <n v="0"/>
    <n v="0"/>
    <n v="1.0200000000000001E-2"/>
    <n v="0"/>
    <n v="0"/>
    <n v="0"/>
    <n v="0"/>
    <n v="0"/>
    <n v="0"/>
    <n v="0"/>
    <n v="1.0200000000000001E-2"/>
    <n v="1020"/>
    <n v="0"/>
    <n v="0"/>
    <x v="0"/>
  </r>
  <r>
    <x v="123"/>
    <x v="0"/>
    <x v="1"/>
    <x v="2"/>
    <x v="14"/>
    <s v="MISCELLANEOUS EXPENSES"/>
    <s v="MISCELLANEOUS EXPENSES"/>
    <x v="1"/>
    <x v="7"/>
    <s v="Books &amp; Periodicals"/>
    <x v="7"/>
    <n v="0"/>
    <n v="5.8999999999999997E-2"/>
    <n v="0"/>
    <n v="7.4700000000000003E-2"/>
    <n v="1.0200000000000001E-2"/>
    <n v="5.8999999999999997E-2"/>
    <n v="2.8999999999999998E-3"/>
    <n v="7.6E-3"/>
    <n v="1.0500000000000001E-2"/>
    <n v="0"/>
    <n v="6.5500000000000003E-3"/>
    <n v="8.6999999999999994E-3"/>
    <n v="0.23915"/>
    <n v="23915"/>
    <n v="0"/>
    <n v="320"/>
    <x v="0"/>
  </r>
  <r>
    <x v="124"/>
    <x v="0"/>
    <x v="1"/>
    <x v="2"/>
    <x v="14"/>
    <s v="OTHER ADMINISTRATIVE EXPENSES"/>
    <s v="PRINTING &amp; STATIONERY"/>
    <x v="1"/>
    <x v="21"/>
    <s v="Printing &amp; Stationery"/>
    <x v="21"/>
    <n v="0"/>
    <n v="9.5329999999999998E-2"/>
    <n v="4.3499999999999997E-2"/>
    <n v="0.25163000000000002"/>
    <n v="0.12300999999999999"/>
    <n v="0"/>
    <n v="0.44728000000000001"/>
    <n v="6.3740000000000005E-2"/>
    <n v="7.3690000000000005E-2"/>
    <n v="0.20560999999999999"/>
    <n v="0.57473649999999998"/>
    <n v="8.4599999999999995E-2"/>
    <n v="1.9631265"/>
    <n v="196312.65"/>
    <n v="0"/>
    <n v="6330"/>
    <x v="0"/>
  </r>
  <r>
    <x v="140"/>
    <x v="0"/>
    <x v="1"/>
    <x v="2"/>
    <x v="14"/>
    <s v="OTHER ADMINISTRATIVE EXPENSES"/>
    <s v="POSTAGE &amp; COURIER CHARGES"/>
    <x v="1"/>
    <x v="23"/>
    <s v="Postage &amp; Courier Charges"/>
    <x v="23"/>
    <n v="0"/>
    <n v="0"/>
    <n v="0"/>
    <n v="8.8999999999999999E-3"/>
    <n v="9.1000000000000004E-3"/>
    <n v="0"/>
    <n v="3.3E-3"/>
    <n v="6.7000000000000002E-3"/>
    <n v="0.01"/>
    <n v="1.6000000000000001E-3"/>
    <n v="5.7999999999999996E-3"/>
    <n v="1.2699999999999999E-2"/>
    <n v="5.8099999999999999E-2"/>
    <n v="5810"/>
    <n v="0"/>
    <n v="300"/>
    <x v="0"/>
  </r>
  <r>
    <x v="146"/>
    <x v="0"/>
    <x v="1"/>
    <x v="2"/>
    <x v="14"/>
    <s v="OTHER ADMINISTRATIVE EXPENSES"/>
    <s v="PROFESSIONAL CHARGES"/>
    <x v="1"/>
    <x v="12"/>
    <s v="Professional Charges"/>
    <x v="12"/>
    <n v="0"/>
    <n v="0"/>
    <n v="0"/>
    <n v="0"/>
    <n v="2.4500000000000001E-2"/>
    <n v="0"/>
    <n v="0.2"/>
    <n v="0.2465"/>
    <n v="0"/>
    <n v="4.8000000000000001E-2"/>
    <n v="0.4"/>
    <n v="0"/>
    <n v="0.91900000000000004"/>
    <n v="91900"/>
    <n v="0.2"/>
    <n v="0"/>
    <x v="0"/>
  </r>
  <r>
    <x v="151"/>
    <x v="0"/>
    <x v="1"/>
    <x v="2"/>
    <x v="14"/>
    <s v="OTHER ADMINISTRATIVE EXPENSES"/>
    <s v="SECURITY EXPENSES"/>
    <x v="1"/>
    <x v="25"/>
    <s v="Security Services"/>
    <x v="25"/>
    <n v="0.36259999999999998"/>
    <n v="0.36255999999999999"/>
    <n v="0.36255999999999999"/>
    <n v="0.36255999999999999"/>
    <n v="0.20466999999999999"/>
    <n v="0.362562"/>
    <n v="0.362562"/>
    <n v="0.362562"/>
    <n v="0.36255999999999999"/>
    <n v="0.36255999999999999"/>
    <n v="0.36255999999999999"/>
    <n v="0.66044099999999994"/>
    <n v="4.4907170000000001"/>
    <n v="447559.04"/>
    <n v="0.61204000000000003"/>
    <n v="36256"/>
    <x v="0"/>
  </r>
  <r>
    <x v="152"/>
    <x v="0"/>
    <x v="1"/>
    <x v="2"/>
    <x v="14"/>
    <s v="OTHER ADMINISTRATIVE EXPENSES"/>
    <s v="TELEPHONE &amp; MOBILE CHARGES"/>
    <x v="1"/>
    <x v="23"/>
    <s v="Telephone &amp; Mobile Charges"/>
    <x v="23"/>
    <n v="0"/>
    <n v="8.7209999999999996E-2"/>
    <n v="8.8209999999999997E-2"/>
    <n v="0.28510999999999997"/>
    <n v="8.8480000000000003E-2"/>
    <n v="0.51348000000000005"/>
    <n v="0.17988000000000001"/>
    <n v="8.8480000000000003E-2"/>
    <n v="0.51817000000000002"/>
    <n v="9.3179999999999999E-2"/>
    <n v="9.3179999999999999E-2"/>
    <n v="0.32268000000000002"/>
    <n v="2.35806"/>
    <n v="235806"/>
    <n v="0.25280999999999998"/>
    <n v="26402.07"/>
    <x v="0"/>
  </r>
  <r>
    <x v="154"/>
    <x v="0"/>
    <x v="1"/>
    <x v="2"/>
    <x v="14"/>
    <s v="OTHER ADMINISTRATIVE EXPENSES"/>
    <s v="TRANSPORTATION CHARGES"/>
    <x v="1"/>
    <x v="22"/>
    <s v="Travelling Expense"/>
    <x v="22"/>
    <n v="0"/>
    <n v="0"/>
    <n v="0"/>
    <n v="0.18994"/>
    <n v="0.10557"/>
    <n v="0"/>
    <n v="0"/>
    <n v="1.7399999999999999E-2"/>
    <n v="0"/>
    <n v="0.05"/>
    <n v="1.1999999999999999E-3"/>
    <n v="0.14910000000000001"/>
    <n v="0.51321000000000006"/>
    <n v="51321"/>
    <n v="0"/>
    <n v="90"/>
    <x v="0"/>
  </r>
  <r>
    <x v="156"/>
    <x v="0"/>
    <x v="1"/>
    <x v="2"/>
    <x v="14"/>
    <s v="OTHER ADMINISTRATIVE EXPENSES"/>
    <s v="TRAVELLING EXPENSES"/>
    <x v="1"/>
    <x v="26"/>
    <s v="Travelling Expenses"/>
    <x v="26"/>
    <n v="0"/>
    <n v="0.28599000000000002"/>
    <n v="0"/>
    <n v="0.31084000000000001"/>
    <n v="0.25080999999999998"/>
    <n v="0"/>
    <n v="0.31385000000000002"/>
    <n v="0.25411"/>
    <n v="9.6869999999999998E-2"/>
    <n v="5.0270000000000002E-2"/>
    <n v="0.61245000000000005"/>
    <n v="0.31258999999999998"/>
    <n v="2.4877799999999999"/>
    <n v="248778"/>
    <n v="0.17599999999999999"/>
    <n v="3093"/>
    <x v="0"/>
  </r>
  <r>
    <x v="158"/>
    <x v="0"/>
    <x v="1"/>
    <x v="2"/>
    <x v="14"/>
    <s v="OTHER ADMINISTRATIVE EXPENSES"/>
    <s v="VEHICLE EXPENSES"/>
    <x v="1"/>
    <x v="16"/>
    <s v="Vehicle Expenses"/>
    <x v="16"/>
    <n v="0"/>
    <n v="0"/>
    <n v="0"/>
    <n v="3.49E-2"/>
    <n v="7.4779999999999999E-2"/>
    <n v="0.11301"/>
    <n v="2E-3"/>
    <n v="4.9193300000000002E-2"/>
    <n v="8.0000000000000002E-3"/>
    <n v="0.23499999999999999"/>
    <n v="2.1899999999999999E-2"/>
    <n v="2.929E-2"/>
    <n v="0.5680733"/>
    <n v="56807.33"/>
    <n v="0"/>
    <n v="17475"/>
    <x v="0"/>
  </r>
  <r>
    <x v="210"/>
    <x v="0"/>
    <x v="1"/>
    <x v="2"/>
    <x v="14"/>
    <s v="KOZHIKODE MEDICAL CENTRE EXPENSES"/>
    <s v="KOZHIKODE MEDICAL CENTRE EXPENSES"/>
    <x v="1"/>
    <x v="7"/>
    <s v="Others"/>
    <x v="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98"/>
    <x v="0"/>
    <x v="1"/>
    <x v="2"/>
    <x v="14"/>
    <s v="KOZHIKODE MEDICAL CENTRE EXPENSES"/>
    <s v="KOZHIKODE MEDICAL CENTRE EXPENSES"/>
    <x v="1"/>
    <x v="26"/>
    <m/>
    <x v="26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96"/>
    <x v="0"/>
    <x v="1"/>
    <x v="2"/>
    <x v="14"/>
    <s v="REPAIRS"/>
    <s v="OTHERS"/>
    <x v="1"/>
    <x v="16"/>
    <s v="Repair to Vehicles"/>
    <x v="16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211"/>
    <x v="0"/>
    <x v="1"/>
    <x v="2"/>
    <x v="14"/>
    <s v="RATES &amp; TAXES"/>
    <s v="RATES &amp; TAXES"/>
    <x v="1"/>
    <x v="18"/>
    <s v="Professional Tax"/>
    <x v="18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18"/>
    <x v="0"/>
    <x v="1"/>
    <x v="2"/>
    <x v="14"/>
    <m/>
    <s v="MISCELLANEOUS EXPENSES"/>
    <x v="1"/>
    <x v="7"/>
    <m/>
    <x v="7"/>
    <m/>
    <m/>
    <m/>
    <m/>
    <n v="5.8999999999999999E-3"/>
    <n v="0"/>
    <n v="0"/>
    <n v="2.3999999999999998E-3"/>
    <n v="0"/>
    <n v="5.0000000000000001E-3"/>
    <n v="0"/>
    <n v="0"/>
    <n v="1.3299999999999999E-2"/>
    <n v="1330"/>
    <n v="0"/>
    <n v="0"/>
    <x v="0"/>
  </r>
  <r>
    <x v="136"/>
    <x v="0"/>
    <x v="1"/>
    <x v="2"/>
    <x v="14"/>
    <m/>
    <s v="RATES &amp; TAXES"/>
    <x v="1"/>
    <x v="18"/>
    <m/>
    <x v="18"/>
    <m/>
    <m/>
    <m/>
    <n v="2.3000000000000001E-4"/>
    <n v="0"/>
    <n v="0"/>
    <n v="0"/>
    <n v="0"/>
    <n v="0"/>
    <n v="0"/>
    <n v="0"/>
    <n v="0"/>
    <n v="2.3000000000000001E-4"/>
    <n v="23"/>
    <n v="0"/>
    <n v="0"/>
    <x v="0"/>
  </r>
  <r>
    <x v="148"/>
    <x v="0"/>
    <x v="1"/>
    <x v="2"/>
    <x v="14"/>
    <s v="OTHER ADMINISTRATIVE EXPENSES"/>
    <s v="PROMOTIONAL EXPENDITURE"/>
    <x v="1"/>
    <x v="24"/>
    <s v="CSR Activity"/>
    <x v="24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8"/>
    <x v="0"/>
    <x v="1"/>
    <x v="2"/>
    <x v="14"/>
    <s v="DEPRECIATION"/>
    <s v="DEPRECIATION"/>
    <x v="1"/>
    <x v="27"/>
    <s v="Amortisation"/>
    <x v="27"/>
    <n v="0"/>
    <n v="0"/>
    <n v="0"/>
    <n v="0"/>
    <n v="0"/>
    <n v="0"/>
    <n v="0"/>
    <n v="0"/>
    <n v="0"/>
    <n v="0"/>
    <n v="0"/>
    <n v="0"/>
    <n v="0"/>
    <n v="0"/>
    <n v="0"/>
    <n v="0"/>
    <x v="0"/>
  </r>
  <r>
    <x v="179"/>
    <x v="0"/>
    <x v="1"/>
    <x v="2"/>
    <x v="14"/>
    <s v="DEPRECIATION"/>
    <s v="DEPRECIATION"/>
    <x v="1"/>
    <x v="27"/>
    <s v="Depreciation"/>
    <x v="27"/>
    <n v="0"/>
    <n v="0"/>
    <n v="0"/>
    <n v="0"/>
    <n v="0"/>
    <n v="0"/>
    <n v="0"/>
    <n v="0"/>
    <n v="0"/>
    <n v="0"/>
    <m/>
    <m/>
    <n v="0"/>
    <m/>
    <n v="0"/>
    <n v="0"/>
    <x v="0"/>
  </r>
  <r>
    <x v="81"/>
    <x v="0"/>
    <x v="1"/>
    <x v="3"/>
    <x v="15"/>
    <m/>
    <m/>
    <x v="1"/>
    <x v="14"/>
    <m/>
    <x v="14"/>
    <m/>
    <m/>
    <m/>
    <m/>
    <m/>
    <m/>
    <m/>
    <m/>
    <m/>
    <n v="3.7499999999999999E-2"/>
    <n v="0"/>
    <n v="0"/>
    <n v="3.7499999999999999E-2"/>
    <n v="3750"/>
    <n v="1.4999999999999999E-2"/>
    <n v="0"/>
    <x v="0"/>
  </r>
  <r>
    <x v="51"/>
    <x v="0"/>
    <x v="1"/>
    <x v="3"/>
    <x v="15"/>
    <m/>
    <m/>
    <x v="1"/>
    <x v="6"/>
    <m/>
    <x v="6"/>
    <m/>
    <m/>
    <m/>
    <m/>
    <m/>
    <m/>
    <m/>
    <m/>
    <m/>
    <n v="0"/>
    <n v="5.6669999999999998E-2"/>
    <n v="0"/>
    <n v="5.6669999999999998E-2"/>
    <n v="5667"/>
    <n v="0"/>
    <n v="0"/>
    <x v="0"/>
  </r>
  <r>
    <x v="212"/>
    <x v="2"/>
    <x v="1"/>
    <x v="3"/>
    <x v="15"/>
    <m/>
    <m/>
    <x v="1"/>
    <x v="15"/>
    <m/>
    <x v="15"/>
    <n v="9.0347000000000008"/>
    <n v="9.0346700000000002"/>
    <n v="9.0346700000000002"/>
    <n v="9.0346700000000002"/>
    <n v="9.0346700000000002"/>
    <n v="9.0346700000000002"/>
    <n v="9.7196954000000009"/>
    <n v="10.3190764"/>
    <n v="10.3190764"/>
    <n v="10.3190764"/>
    <n v="10.3190764"/>
    <n v="10.3190764"/>
    <n v="115.5230974"/>
    <m/>
    <n v="10.3190764"/>
    <n v="1031907.64"/>
    <x v="0"/>
  </r>
  <r>
    <x v="204"/>
    <x v="3"/>
    <x v="1"/>
    <x v="3"/>
    <x v="15"/>
    <m/>
    <m/>
    <x v="1"/>
    <x v="8"/>
    <m/>
    <x v="8"/>
    <n v="1.26E-2"/>
    <n v="1.2588934E-2"/>
    <n v="1.2588934E-2"/>
    <n v="1.2588934E-2"/>
    <n v="1.2588934E-2"/>
    <n v="1.2588934E-2"/>
    <n v="1.2588934E-2"/>
    <n v="1.2588934E-2"/>
    <n v="1.2588934E-2"/>
    <n v="1.2588934E-2"/>
    <n v="1.2588934E-2"/>
    <n v="1.2588934E-2"/>
    <n v="0.15106720300000001"/>
    <m/>
    <n v="1.2588934E-2"/>
    <n v="1258.8933605638315"/>
    <x v="0"/>
  </r>
  <r>
    <x v="205"/>
    <x v="3"/>
    <x v="2"/>
    <x v="3"/>
    <x v="15"/>
    <m/>
    <m/>
    <x v="1"/>
    <x v="6"/>
    <s v="Opening Stock"/>
    <x v="6"/>
    <n v="16.101500000000001"/>
    <n v="16.619282416000001"/>
    <n v="17.843054398"/>
    <n v="17.629596156000002"/>
    <n v="16.891076523999999"/>
    <n v="16.672560475000001"/>
    <n v="16.996769795999999"/>
    <n v="17.862762500999999"/>
    <n v="18.961245361"/>
    <n v="18.898472671"/>
    <n v="18.529629125"/>
    <n v="21.498699081000002"/>
    <n v="16.101532679000002"/>
    <n v="0"/>
    <n v="25.299111158999999"/>
    <n v="2078378"/>
    <x v="0"/>
  </r>
  <r>
    <x v="206"/>
    <x v="3"/>
    <x v="2"/>
    <x v="3"/>
    <x v="15"/>
    <m/>
    <m/>
    <x v="1"/>
    <x v="6"/>
    <s v="Closing Stock"/>
    <x v="6"/>
    <n v="-16.619299999999999"/>
    <n v="-17.843054398"/>
    <n v="-17.629596156000002"/>
    <n v="-16.891076523999999"/>
    <n v="-16.672560475000001"/>
    <n v="-16.996769795999999"/>
    <n v="-17.862762500999999"/>
    <n v="-18.961245361"/>
    <n v="-18.898472671"/>
    <n v="-18.529629125"/>
    <n v="-21.498699081000002"/>
    <n v="-33.299111158999999"/>
    <n v="-20.299111158999999"/>
    <n v="0"/>
    <n v="-20.78378"/>
    <n v="-1998275.3629999999"/>
    <x v="0"/>
  </r>
  <r>
    <x v="213"/>
    <x v="0"/>
    <x v="0"/>
    <x v="4"/>
    <x v="17"/>
    <s v="MOD REVENUE"/>
    <s v="MOD REVENUE"/>
    <x v="2"/>
    <x v="28"/>
    <s v="Parcel Charge"/>
    <x v="28"/>
    <n v="-0.27450000000000002"/>
    <n v="-0.29311999999999999"/>
    <n v="-0.26151000000000002"/>
    <n v="-0.33933999999999997"/>
    <n v="-0.3039"/>
    <n v="-0.28272999999999998"/>
    <n v="-0.28726000000000002"/>
    <n v="-0.27489999999999998"/>
    <n v="-0.28000000000000003"/>
    <n v="-0.30710999999999999"/>
    <n v="-0.27181"/>
    <n v="-0.30942999999999998"/>
    <n v="-3.4855800000000001"/>
    <m/>
    <n v="-0.36919000000000002"/>
    <n v="-37028"/>
    <x v="0"/>
  </r>
  <r>
    <x v="214"/>
    <x v="0"/>
    <x v="0"/>
    <x v="4"/>
    <x v="17"/>
    <s v="MOD REVENUE"/>
    <s v="MOD REVENUE"/>
    <x v="2"/>
    <x v="28"/>
    <s v="Parcel Charge"/>
    <x v="28"/>
    <n v="-2.2000000000000001E-3"/>
    <n v="-7.1481000000000001E-3"/>
    <n v="-5.2709999999999996E-3"/>
    <n v="-2.7659999999999998E-3"/>
    <n v="-1.2075E-3"/>
    <n v="-1.5501E-3"/>
    <n v="-8.7000000000000001E-4"/>
    <n v="-3.0133999999999998E-3"/>
    <n v="-1.0225E-3"/>
    <n v="-2.7667E-3"/>
    <n v="-4.8509999999999997E-4"/>
    <n v="-2.6354999999999998E-3"/>
    <n v="-3.0928199999999999E-2"/>
    <m/>
    <n v="-2.6194E-3"/>
    <n v="-209.7"/>
    <x v="0"/>
  </r>
  <r>
    <x v="215"/>
    <x v="0"/>
    <x v="0"/>
    <x v="4"/>
    <x v="17"/>
    <s v="OTHER INCOME"/>
    <s v="OTHER INCOME"/>
    <x v="2"/>
    <x v="4"/>
    <s v="Other Income"/>
    <x v="4"/>
    <n v="0"/>
    <n v="0"/>
    <n v="-1.11E-2"/>
    <n v="0"/>
    <n v="0"/>
    <n v="0"/>
    <n v="0"/>
    <n v="0"/>
    <n v="0"/>
    <n v="0"/>
    <n v="0"/>
    <n v="0"/>
    <n v="-1.11E-2"/>
    <m/>
    <n v="0"/>
    <n v="0"/>
    <x v="0"/>
  </r>
  <r>
    <x v="216"/>
    <x v="0"/>
    <x v="0"/>
    <x v="4"/>
    <x v="17"/>
    <s v="OTHER INCOME"/>
    <s v="OTHER INCOME"/>
    <x v="2"/>
    <x v="4"/>
    <s v="Scrap Sale"/>
    <x v="4"/>
    <n v="0"/>
    <n v="0"/>
    <n v="-0.10546"/>
    <n v="-5.6779999999999997E-2"/>
    <n v="0"/>
    <n v="-4.795E-2"/>
    <n v="0"/>
    <n v="-8.7120000000000003E-2"/>
    <n v="0"/>
    <n v="-9.8299999999999998E-2"/>
    <n v="0"/>
    <n v="-8.7800000000000003E-2"/>
    <n v="-0.48341000000000001"/>
    <m/>
    <n v="0"/>
    <n v="-9297"/>
    <x v="0"/>
  </r>
  <r>
    <x v="217"/>
    <x v="0"/>
    <x v="0"/>
    <x v="4"/>
    <x v="17"/>
    <s v="OTHER INCOME"/>
    <s v="OTHER INCOME"/>
    <x v="2"/>
    <x v="4"/>
    <s v="Transportation Income"/>
    <x v="4"/>
    <n v="0"/>
    <n v="0"/>
    <n v="0"/>
    <n v="0"/>
    <n v="0"/>
    <n v="0"/>
    <n v="0"/>
    <n v="0"/>
    <n v="0"/>
    <n v="0"/>
    <n v="0"/>
    <n v="0"/>
    <n v="0"/>
    <m/>
    <n v="0"/>
    <n v="0"/>
    <x v="0"/>
  </r>
  <r>
    <x v="218"/>
    <x v="0"/>
    <x v="0"/>
    <x v="4"/>
    <x v="17"/>
    <s v="F &amp; B REVENUE (GST)"/>
    <s v="F &amp; B REVENUE (GST)"/>
    <x v="2"/>
    <x v="28"/>
    <s v="Mrp Sales"/>
    <x v="28"/>
    <n v="-0.3483"/>
    <n v="-0.32363049999999999"/>
    <n v="-0.20671419999999999"/>
    <n v="-0.2415873"/>
    <n v="-0.25605729999999999"/>
    <n v="-0.16668259999999999"/>
    <n v="-1.2888999999999999E-2"/>
    <n v="0"/>
    <n v="-7.1420000000000001E-4"/>
    <n v="0"/>
    <n v="0"/>
    <n v="0"/>
    <n v="-1.5565769"/>
    <m/>
    <n v="0"/>
    <n v="0"/>
    <x v="0"/>
  </r>
  <r>
    <x v="219"/>
    <x v="0"/>
    <x v="0"/>
    <x v="4"/>
    <x v="17"/>
    <s v="F &amp; B REVENUE (GST)"/>
    <s v="F &amp; B REVENUE (GST)"/>
    <x v="2"/>
    <x v="28"/>
    <s v="Bakery Sales"/>
    <x v="28"/>
    <n v="-6.3487999999999998"/>
    <n v="-6.9990347999999996"/>
    <n v="-6.4424209000000001"/>
    <n v="-7.0255622000000004"/>
    <n v="-6.0948167"/>
    <n v="-6.1601182999999997"/>
    <n v="-6.3010653000000003"/>
    <n v="-6.1261752999999999"/>
    <n v="-9.1431211000000001"/>
    <n v="-7.4955198999999997"/>
    <n v="-6.1501049999999999"/>
    <n v="-6.6073336999999999"/>
    <n v="-80.894104400000003"/>
    <m/>
    <n v="-6.4669641000000002"/>
    <n v="-641750.80000000005"/>
    <x v="0"/>
  </r>
  <r>
    <x v="220"/>
    <x v="0"/>
    <x v="0"/>
    <x v="4"/>
    <x v="17"/>
    <s v="F &amp; B REVENUE (GST)"/>
    <s v="F &amp; B REVENUE (GST)"/>
    <x v="2"/>
    <x v="28"/>
    <s v="Others"/>
    <x v="28"/>
    <n v="-2.1871999999999998"/>
    <n v="-1.2277739999999999"/>
    <n v="-2.2447007999999999"/>
    <n v="-1.69841"/>
    <n v="-0.80530440000000003"/>
    <n v="-2.8055561999999998"/>
    <n v="-1.6960457"/>
    <n v="-1.1064799999999999"/>
    <n v="-0.87745399999999996"/>
    <n v="-1.1814275000000001"/>
    <n v="-1.169"/>
    <n v="-0.86128450000000001"/>
    <n v="-17.8606303"/>
    <m/>
    <n v="-0.14000000000000001"/>
    <n v="-155819.5"/>
    <x v="0"/>
  </r>
  <r>
    <x v="221"/>
    <x v="0"/>
    <x v="0"/>
    <x v="4"/>
    <x v="17"/>
    <s v="F &amp; B REVENUE (GST)"/>
    <s v="F &amp; B REVENUE (GST)"/>
    <x v="2"/>
    <x v="28"/>
    <s v="Restaurant &amp; Coffee Shop Sales"/>
    <x v="28"/>
    <n v="-13.956"/>
    <n v="-14.107620300000001"/>
    <n v="-12.3670832"/>
    <n v="-14.2196113"/>
    <n v="-13.0341574"/>
    <n v="-13.7218549"/>
    <n v="-12.7179764"/>
    <n v="-11.3484316"/>
    <n v="-11.6058564"/>
    <n v="-13.293431200000001"/>
    <n v="-11.3589939"/>
    <n v="-12.539300900000001"/>
    <n v="-154.2703219"/>
    <m/>
    <n v="-14.528165599999999"/>
    <n v="-1598983.5"/>
    <x v="0"/>
  </r>
  <r>
    <x v="222"/>
    <x v="0"/>
    <x v="0"/>
    <x v="4"/>
    <x v="17"/>
    <s v="F &amp; B REVENUE (GST)"/>
    <s v="F &amp; B REVENUE (GST)"/>
    <x v="2"/>
    <x v="28"/>
    <s v="Ip Service"/>
    <x v="28"/>
    <n v="-3.1615000000000002"/>
    <n v="-3.3708680000000002"/>
    <n v="-2.7464016999999998"/>
    <n v="-3.5190090000000001"/>
    <n v="-3.7959065000000001"/>
    <n v="-3.1149955"/>
    <n v="-2.8028654999999998"/>
    <n v="-2.8205184999999999"/>
    <n v="-3.4414452"/>
    <n v="-4.2106940000000002"/>
    <n v="-4.5019467999999998"/>
    <n v="-3.8569591999999999"/>
    <n v="-41.343060899999998"/>
    <m/>
    <n v="-4.9456552"/>
    <n v="-491150.79"/>
    <x v="0"/>
  </r>
  <r>
    <x v="223"/>
    <x v="0"/>
    <x v="0"/>
    <x v="4"/>
    <x v="17"/>
    <s v="F &amp; B REVENUE (GST)"/>
    <s v="F &amp; B REVENUE (GST)"/>
    <x v="2"/>
    <x v="28"/>
    <s v="Restaurant &amp; Coffee Shop Sales"/>
    <x v="28"/>
    <n v="-46.880200000000002"/>
    <n v="-50.909368999999998"/>
    <n v="-47.6352622"/>
    <n v="-56.669951599999997"/>
    <n v="-57.692656499999998"/>
    <n v="-56.335408399999999"/>
    <n v="-55.239421100000001"/>
    <n v="-55.100574399999999"/>
    <n v="-52.293767799999998"/>
    <n v="-55.464745200000003"/>
    <n v="-49.324215500000001"/>
    <n v="-50.9147952"/>
    <n v="-634.46032019999996"/>
    <m/>
    <n v="-56.336823099999997"/>
    <n v="-6144088.6399999997"/>
    <x v="0"/>
  </r>
  <r>
    <x v="224"/>
    <x v="0"/>
    <x v="0"/>
    <x v="4"/>
    <x v="17"/>
    <s v="F &amp; B REVENUE (GST)"/>
    <s v="F &amp; B REVENUE (GST)"/>
    <x v="2"/>
    <x v="28"/>
    <s v="Ip Service"/>
    <x v="28"/>
    <n v="-29.406099999999999"/>
    <n v="-30.729993400000001"/>
    <n v="-30.231055999999999"/>
    <n v="-34.557982899999999"/>
    <n v="-34.349618800000002"/>
    <n v="-32.082702900000001"/>
    <n v="-35.081597100000003"/>
    <n v="-31.626513899999999"/>
    <n v="-33.6146496"/>
    <n v="-38.201157600000002"/>
    <n v="-33.862610400000001"/>
    <n v="-28.846162799999998"/>
    <n v="-392.59015060000002"/>
    <m/>
    <n v="-35.942488099999998"/>
    <n v="-3732679.21"/>
    <x v="0"/>
  </r>
  <r>
    <x v="225"/>
    <x v="0"/>
    <x v="0"/>
    <x v="4"/>
    <x v="17"/>
    <s v="F &amp; B REVENUE (GST)"/>
    <s v="F &amp; B REVENUE (GST)"/>
    <x v="2"/>
    <x v="28"/>
    <s v="Ip Service"/>
    <x v="28"/>
    <n v="-2.7665000000000002"/>
    <n v="-3.1108199999999999"/>
    <n v="-2.647405"/>
    <n v="-3.3111299999999999"/>
    <n v="-3.8162349999999998"/>
    <n v="-3.5080550000000001"/>
    <n v="-3.32342"/>
    <n v="-3.0382400000000001"/>
    <n v="-2.9223599999999998"/>
    <n v="-3.44041"/>
    <n v="-3.2725"/>
    <n v="-2.7035550000000002"/>
    <n v="-37.860639999999997"/>
    <m/>
    <n v="-3.3708900000000002"/>
    <n v="-362863"/>
    <x v="0"/>
  </r>
  <r>
    <x v="226"/>
    <x v="0"/>
    <x v="0"/>
    <x v="4"/>
    <x v="17"/>
    <s v="F &amp; B REVENUE (GST)"/>
    <s v="F &amp; B REVENUE (GST)"/>
    <x v="2"/>
    <x v="28"/>
    <s v="Ip Service"/>
    <x v="28"/>
    <n v="-21.5855"/>
    <n v="-23.457229999999999"/>
    <n v="-20.836024999999999"/>
    <n v="-25.761324999999999"/>
    <n v="-26.76858"/>
    <n v="-24.687265"/>
    <n v="-24.066379999999999"/>
    <n v="-21.400974999999999"/>
    <n v="-22.015509999999999"/>
    <n v="-25.672364999999999"/>
    <n v="-26.33183"/>
    <n v="-20.889050000000001"/>
    <n v="-283.47205500000001"/>
    <m/>
    <n v="-26.93112"/>
    <n v="-2813626"/>
    <x v="0"/>
  </r>
  <r>
    <x v="227"/>
    <x v="0"/>
    <x v="0"/>
    <x v="4"/>
    <x v="17"/>
    <s v="F &amp; B REVENUE (GST)"/>
    <s v="F &amp; B REVENUE (GST)"/>
    <x v="2"/>
    <x v="28"/>
    <s v="Mrp Sales"/>
    <x v="28"/>
    <n v="-1.9300000000000001E-2"/>
    <n v="-2.1899999999999999E-2"/>
    <n v="-1.8599999999999998E-2"/>
    <n v="-3.6389900000000003E-2"/>
    <n v="-2.1011100000000001E-2"/>
    <n v="-3.0717299999999999E-2"/>
    <n v="-2.18268E-2"/>
    <n v="-2.2930499999999999E-2"/>
    <n v="-2.7216000000000001E-2"/>
    <n v="-2.4485E-2"/>
    <n v="-2.2607599999999999E-2"/>
    <n v="-1.5665100000000001E-2"/>
    <n v="-0.28266540000000001"/>
    <m/>
    <n v="-2.6785E-2"/>
    <n v="-2801.3"/>
    <x v="0"/>
  </r>
  <r>
    <x v="228"/>
    <x v="0"/>
    <x v="0"/>
    <x v="4"/>
    <x v="17"/>
    <s v="F &amp; B REVENUE (GST)"/>
    <s v="F &amp; B REVENUE (GST)"/>
    <x v="2"/>
    <x v="28"/>
    <s v="Mrp Sales"/>
    <x v="28"/>
    <n v="-1.7054"/>
    <n v="-1.8924399000000001"/>
    <n v="-1.3611743999999999"/>
    <n v="-1.5518320000000001"/>
    <n v="-1.6532956000000001"/>
    <n v="-0.92468649999999997"/>
    <n v="-2.9048899999999999E-2"/>
    <n v="-5.396E-4"/>
    <n v="0"/>
    <n v="0"/>
    <n v="0"/>
    <n v="0"/>
    <n v="-9.1183975000000004"/>
    <m/>
    <n v="0"/>
    <n v="-38.08"/>
    <x v="0"/>
  </r>
  <r>
    <x v="229"/>
    <x v="0"/>
    <x v="0"/>
    <x v="4"/>
    <x v="17"/>
    <s v="F &amp; B REVENUE (GST)"/>
    <s v="F &amp; B REVENUE (GST)"/>
    <x v="2"/>
    <x v="28"/>
    <s v="Mrp Sales"/>
    <x v="28"/>
    <n v="-1.6160000000000001"/>
    <n v="-1.6697616"/>
    <n v="-1.3438072999999999"/>
    <n v="-1.6004954"/>
    <n v="-1.6688869"/>
    <n v="-0.57437870000000002"/>
    <n v="-0.10387159999999999"/>
    <n v="-8.0606300000000006E-2"/>
    <n v="-8.8961200000000004E-2"/>
    <n v="-2.1885999999999999E-2"/>
    <n v="-8.8600999999999992E-3"/>
    <n v="-2.47566E-2"/>
    <n v="-8.8022764000000002"/>
    <m/>
    <n v="-4.8533E-2"/>
    <n v="-7188.87"/>
    <x v="0"/>
  </r>
  <r>
    <x v="230"/>
    <x v="0"/>
    <x v="0"/>
    <x v="4"/>
    <x v="17"/>
    <s v="F &amp; B REVENUE (GST)"/>
    <s v="F &amp; B REVENUE (GST)"/>
    <x v="2"/>
    <x v="28"/>
    <s v="Mrp Sales"/>
    <x v="28"/>
    <n v="0"/>
    <n v="-1.8278999999999999E-3"/>
    <n v="0"/>
    <n v="0"/>
    <n v="0"/>
    <n v="-0.91500349999999997"/>
    <n v="-2.334689"/>
    <n v="-2.3474366"/>
    <n v="-2.2724288000000001"/>
    <n v="-2.5988253000000001"/>
    <n v="-2.7091737999999999"/>
    <n v="-3.0359829"/>
    <n v="-16.215367799999999"/>
    <m/>
    <n v="-3.3350178000000001"/>
    <n v="-349879.14"/>
    <x v="0"/>
  </r>
  <r>
    <x v="231"/>
    <x v="0"/>
    <x v="0"/>
    <x v="4"/>
    <x v="17"/>
    <s v="F &amp; B REVENUE (GST)"/>
    <s v="F &amp; B REVENUE (GST)"/>
    <x v="2"/>
    <x v="28"/>
    <s v="Staff Sales"/>
    <x v="28"/>
    <n v="-3.1972999999999998"/>
    <n v="-3.5439555"/>
    <n v="-2.7888723"/>
    <n v="-2.7852305999999998"/>
    <n v="-2.7036587999999999"/>
    <n v="-2.4063146"/>
    <n v="-2.6461996999999999"/>
    <n v="-2.5071952999999998"/>
    <n v="-2.6332993"/>
    <n v="-3.2259004"/>
    <n v="-2.8827853000000001"/>
    <n v="-3.1642321"/>
    <n v="-34.484949299999997"/>
    <m/>
    <n v="-3.2270726000000001"/>
    <n v="-344450.4"/>
    <x v="0"/>
  </r>
  <r>
    <x v="232"/>
    <x v="0"/>
    <x v="0"/>
    <x v="4"/>
    <x v="17"/>
    <s v="CALICUT MEDICAL CENTRE"/>
    <s v="CALICUT MEDICAL CENTRE"/>
    <x v="2"/>
    <x v="28"/>
    <s v="Restaurant &amp; Coffee Shop Sales"/>
    <x v="28"/>
    <n v="-4.0000000000000002E-4"/>
    <n v="-1.905E-4"/>
    <n v="0"/>
    <n v="0"/>
    <n v="0"/>
    <n v="-2.7129999999999998E-4"/>
    <n v="0"/>
    <n v="-9.5199999999999997E-5"/>
    <n v="0"/>
    <n v="0"/>
    <n v="0"/>
    <n v="0"/>
    <n v="-9.3800000000000003E-4"/>
    <m/>
    <n v="0"/>
    <n v="0"/>
    <x v="0"/>
  </r>
  <r>
    <x v="233"/>
    <x v="0"/>
    <x v="1"/>
    <x v="5"/>
    <x v="18"/>
    <s v="RAW MATERIAL COST"/>
    <s v="RAW MATERIAL COST"/>
    <x v="2"/>
    <x v="6"/>
    <s v="Purchase - Fruits &amp; Vegetables"/>
    <x v="6"/>
    <n v="8.0770999999999997"/>
    <n v="9.4943735"/>
    <n v="8.6851800000000008"/>
    <n v="10.323551500000001"/>
    <n v="11.4120448"/>
    <n v="11.1363945"/>
    <n v="10.6268695"/>
    <n v="10.5076675"/>
    <n v="10.7889722"/>
    <n v="11.139046499999999"/>
    <n v="9.8533044000000007"/>
    <n v="10.2782994"/>
    <n v="122.32277019999999"/>
    <m/>
    <n v="10.783127500000001"/>
    <n v="1168232.74"/>
    <x v="0"/>
  </r>
  <r>
    <x v="234"/>
    <x v="0"/>
    <x v="1"/>
    <x v="5"/>
    <x v="18"/>
    <s v="RAW MATERIAL COST"/>
    <s v="RAW MATERIAL COST"/>
    <x v="2"/>
    <x v="6"/>
    <s v="Purchase - Beverages"/>
    <x v="6"/>
    <n v="2.8712"/>
    <n v="3.0402529"/>
    <n v="2.2091451000000002"/>
    <n v="2.5585298000000001"/>
    <n v="2.8911798000000002"/>
    <n v="2.0482428000000001"/>
    <n v="2.6652013000000001"/>
    <n v="1.9548599"/>
    <n v="2.4420052999999999"/>
    <n v="2.8689306000000001"/>
    <n v="2.4114292000000002"/>
    <n v="2.6682158"/>
    <n v="30.629204600000001"/>
    <m/>
    <n v="3.0565978999999999"/>
    <n v="291932.32"/>
    <x v="0"/>
  </r>
  <r>
    <x v="235"/>
    <x v="0"/>
    <x v="1"/>
    <x v="5"/>
    <x v="18"/>
    <s v="RAW MATERIAL COST"/>
    <s v="RAW MATERIAL COST"/>
    <x v="2"/>
    <x v="6"/>
    <s v="Purchase - Fish,Meat &amp; Egg"/>
    <x v="6"/>
    <n v="12.564"/>
    <n v="15.4835482"/>
    <n v="14.557493300000001"/>
    <n v="15.806437000000001"/>
    <n v="15.562430900000001"/>
    <n v="14.328431"/>
    <n v="15.5196691"/>
    <n v="15.716013500000001"/>
    <n v="15.985587499999999"/>
    <n v="17.028653599999998"/>
    <n v="14.6592068"/>
    <n v="13.144751299999999"/>
    <n v="180.35620069999999"/>
    <m/>
    <n v="14.839601999999999"/>
    <n v="1766622.9"/>
    <x v="0"/>
  </r>
  <r>
    <x v="236"/>
    <x v="0"/>
    <x v="1"/>
    <x v="5"/>
    <x v="18"/>
    <s v="RAW MATERIAL COST"/>
    <s v="RAW MATERIAL COST"/>
    <x v="2"/>
    <x v="6"/>
    <s v="Purchase - Fuel"/>
    <x v="6"/>
    <n v="5.5755999999999997"/>
    <n v="6.6058579999999996"/>
    <n v="5.4486711000000003"/>
    <n v="6.4038266000000004"/>
    <n v="6.1761162000000001"/>
    <n v="5.1756978"/>
    <n v="6.1670315000000002"/>
    <n v="5.5171118000000003"/>
    <n v="6.1099741999999999"/>
    <n v="6.5428324"/>
    <n v="5.8662253"/>
    <n v="6.9769034000000003"/>
    <n v="72.5658502"/>
    <m/>
    <n v="7.3199969999999999"/>
    <n v="1196960.6200000001"/>
    <x v="0"/>
  </r>
  <r>
    <x v="237"/>
    <x v="0"/>
    <x v="1"/>
    <x v="5"/>
    <x v="18"/>
    <s v="RAW MATERIAL COST"/>
    <s v="RAW MATERIAL COST"/>
    <x v="2"/>
    <x v="6"/>
    <s v="Purchase - Milk,Curd &amp; Butter Milk"/>
    <x v="6"/>
    <n v="8.8909000000000002"/>
    <n v="9.8344289000000007"/>
    <n v="9.3335079000000007"/>
    <n v="10.1873957"/>
    <n v="10.9248318"/>
    <n v="10.424296500000001"/>
    <n v="11.041896599999999"/>
    <n v="10.4367641"/>
    <n v="11.290975700000001"/>
    <n v="11.700688700000001"/>
    <n v="10.908405699999999"/>
    <n v="10.6963837"/>
    <n v="125.6704361"/>
    <m/>
    <n v="10.935893399999999"/>
    <n v="1162636.77"/>
    <x v="0"/>
  </r>
  <r>
    <x v="238"/>
    <x v="0"/>
    <x v="1"/>
    <x v="5"/>
    <x v="18"/>
    <s v="RAW MATERIAL COST"/>
    <s v="RAW MATERIAL COST"/>
    <x v="2"/>
    <x v="6"/>
    <s v="Purchase - Mrp Cofee Shop Items"/>
    <x v="6"/>
    <n v="0.85119999999999996"/>
    <n v="1.0731544"/>
    <n v="0.93451139999999999"/>
    <n v="0.48244920000000002"/>
    <n v="0.76146250000000004"/>
    <n v="0.2420513"/>
    <n v="0.69388150000000004"/>
    <n v="0.67627990000000004"/>
    <n v="0.56074729999999995"/>
    <n v="0.63260439999999996"/>
    <n v="0.74885690000000005"/>
    <n v="0.36676350000000002"/>
    <n v="8.0239177000000002"/>
    <m/>
    <n v="1.4776359999999999"/>
    <n v="124006.39"/>
    <x v="0"/>
  </r>
  <r>
    <x v="239"/>
    <x v="0"/>
    <x v="1"/>
    <x v="5"/>
    <x v="18"/>
    <s v="RAW MATERIAL COST"/>
    <s v="RAW MATERIAL COST"/>
    <x v="2"/>
    <x v="6"/>
    <s v="Purchase - Provisions &amp; Stores"/>
    <x v="6"/>
    <n v="30.724699999999999"/>
    <n v="30.334144999999999"/>
    <n v="24.565254400000001"/>
    <n v="30.191884200000001"/>
    <n v="34.034606199999999"/>
    <n v="28.0551569"/>
    <n v="28.191291499999998"/>
    <n v="27.760705300000001"/>
    <n v="29.669032699999999"/>
    <n v="29.9709143"/>
    <n v="28.112587300000001"/>
    <n v="27.103901"/>
    <n v="348.714178"/>
    <m/>
    <n v="42.571631699999998"/>
    <n v="3367684.82"/>
    <x v="0"/>
  </r>
  <r>
    <x v="240"/>
    <x v="0"/>
    <x v="1"/>
    <x v="5"/>
    <x v="18"/>
    <s v="TRANSPORT &amp; COOLIE"/>
    <s v="TRANSPORT &amp; COOLIE"/>
    <x v="2"/>
    <x v="26"/>
    <s v="Transport &amp; Coolie"/>
    <x v="26"/>
    <n v="0"/>
    <n v="0"/>
    <n v="3.5000000000000003E-2"/>
    <n v="4.59011E-2"/>
    <n v="6.0000000000000001E-3"/>
    <n v="0"/>
    <n v="0"/>
    <n v="0.04"/>
    <n v="0"/>
    <n v="1.0000200000000001E-2"/>
    <n v="2.5000000000000002E-6"/>
    <n v="5.0000000000000001E-3"/>
    <n v="0.1419038"/>
    <m/>
    <n v="0"/>
    <n v="2.42"/>
    <x v="0"/>
  </r>
  <r>
    <x v="241"/>
    <x v="0"/>
    <x v="1"/>
    <x v="5"/>
    <x v="18"/>
    <s v="PAYMENT &amp; PROVISIONS FOR EMPLOYEES"/>
    <s v="SALARIES,WAGES,BONUS ETC."/>
    <x v="2"/>
    <x v="8"/>
    <s v="Sallaries And Allowances"/>
    <x v="8"/>
    <n v="18.453299999999999"/>
    <n v="18.42266"/>
    <n v="18.81024"/>
    <n v="17.714120000000001"/>
    <n v="18.42962"/>
    <n v="18.279240000000001"/>
    <n v="19.93957"/>
    <n v="18.496230000000001"/>
    <n v="17.546029999999998"/>
    <n v="18.89996"/>
    <n v="18.1309"/>
    <n v="17.978960000000001"/>
    <n v="221.10083"/>
    <m/>
    <n v="19.325289999999999"/>
    <n v="1887829"/>
    <x v="0"/>
  </r>
  <r>
    <x v="242"/>
    <x v="0"/>
    <x v="1"/>
    <x v="5"/>
    <x v="18"/>
    <s v="WORKMEN STAFF WELFARE EXPENSE"/>
    <s v="WORKMEN STAFF WELFARE EXPENSE"/>
    <x v="2"/>
    <x v="15"/>
    <s v="Staff Accomodation &amp; Electricity Charges"/>
    <x v="15"/>
    <n v="0.97"/>
    <n v="0.97"/>
    <n v="1.2263299999999999"/>
    <n v="0.97"/>
    <n v="1.2173400000000001"/>
    <n v="0.97"/>
    <n v="0.99981330000000002"/>
    <n v="0.97"/>
    <n v="0.67"/>
    <n v="1.5082013999999999"/>
    <n v="1.4361841"/>
    <n v="1.3589"/>
    <n v="13.266768799999999"/>
    <m/>
    <n v="2.5005999999999999"/>
    <n v="108560"/>
    <x v="0"/>
  </r>
  <r>
    <x v="243"/>
    <x v="0"/>
    <x v="1"/>
    <x v="5"/>
    <x v="18"/>
    <s v="WORKMEN STAFF WELFARE EXPENSE"/>
    <s v="WORKMEN STAFF WELFARE EXPENSE"/>
    <x v="2"/>
    <x v="15"/>
    <s v="Staff Accomodation Water Charges"/>
    <x v="15"/>
    <n v="0"/>
    <n v="0"/>
    <n v="0.13757"/>
    <n v="0.10372000000000001"/>
    <n v="0"/>
    <n v="0.152"/>
    <n v="0"/>
    <n v="0"/>
    <n v="0"/>
    <n v="0.15758"/>
    <n v="0"/>
    <n v="8.3019999999999997E-2"/>
    <n v="0.63388999999999995"/>
    <m/>
    <n v="0"/>
    <n v="0"/>
    <x v="0"/>
  </r>
  <r>
    <x v="244"/>
    <x v="0"/>
    <x v="1"/>
    <x v="5"/>
    <x v="18"/>
    <s v="WORKMEN STAFF WELFARE EXPENSE"/>
    <s v="WORKMEN STAFF WELFARE EXPENSE"/>
    <x v="2"/>
    <x v="8"/>
    <s v="Staff Uniform Expense"/>
    <x v="8"/>
    <n v="0.11550000000000001"/>
    <n v="0.20705999999999999"/>
    <n v="0"/>
    <n v="1.1549157000000001"/>
    <n v="0.24528"/>
    <n v="0"/>
    <n v="0.19634989999999999"/>
    <n v="0.34523999999999999"/>
    <n v="2.4885000000000001E-2"/>
    <n v="0"/>
    <n v="0.48919499999999999"/>
    <n v="0.54862500000000003"/>
    <n v="3.3270506000000002"/>
    <m/>
    <n v="2.3519999999999999E-2"/>
    <n v="24759"/>
    <x v="0"/>
  </r>
  <r>
    <x v="245"/>
    <x v="0"/>
    <x v="1"/>
    <x v="5"/>
    <x v="18"/>
    <s v="STORES &amp; SUPPLIES"/>
    <s v="LINEN &amp; ROOM SUPPLIES"/>
    <x v="2"/>
    <x v="6"/>
    <s v="Purchase - Sundry Goods"/>
    <x v="6"/>
    <n v="4.4867999999999997"/>
    <n v="5.4011614999999997"/>
    <n v="3.3738429999999999"/>
    <n v="6.9435278"/>
    <n v="6.0083262"/>
    <n v="3.7149359999999998"/>
    <n v="4.8211529000000004"/>
    <n v="4.1250108000000001"/>
    <n v="5.6294594"/>
    <n v="4.5523743999999997"/>
    <n v="6.3891106000000004"/>
    <n v="4.3197026999999997"/>
    <n v="59.765397800000002"/>
    <m/>
    <n v="6.775201"/>
    <n v="932840.44"/>
    <x v="0"/>
  </r>
  <r>
    <x v="246"/>
    <x v="0"/>
    <x v="1"/>
    <x v="5"/>
    <x v="18"/>
    <s v="STORES &amp; SUPPLIES"/>
    <s v="LINEN, WASHING &amp; LAUNDRY"/>
    <x v="2"/>
    <x v="13"/>
    <s v="House Keeping"/>
    <x v="13"/>
    <n v="0.15509999999999999"/>
    <n v="0.16187000000000001"/>
    <n v="0.16811000000000001"/>
    <n v="0.17982000000000001"/>
    <n v="0.16198000000000001"/>
    <n v="0.15917000000000001"/>
    <n v="0.16164999999999999"/>
    <n v="0.17075000000000001"/>
    <n v="0.16768"/>
    <n v="0.18701999999999999"/>
    <n v="0.16739999999999999"/>
    <n v="0.17293"/>
    <n v="2.0134500000000002"/>
    <m/>
    <n v="0.15253"/>
    <n v="15946"/>
    <x v="0"/>
  </r>
  <r>
    <x v="247"/>
    <x v="0"/>
    <x v="1"/>
    <x v="5"/>
    <x v="18"/>
    <s v="STORES &amp; SUPPLIES"/>
    <s v="LINEN, WASHING &amp; LAUNDRY"/>
    <x v="2"/>
    <x v="13"/>
    <s v="House Keeping"/>
    <x v="13"/>
    <n v="1.4117999999999999"/>
    <n v="1.6981986"/>
    <n v="1.4985784"/>
    <n v="2.0066033000000001"/>
    <n v="1.9013336000000001"/>
    <n v="1.4467227"/>
    <n v="1.5635732"/>
    <n v="1.8808216"/>
    <n v="1.8793960000000001"/>
    <n v="1.9011395"/>
    <n v="1.5605420999999999"/>
    <n v="1.7787212999999999"/>
    <n v="20.5274459"/>
    <m/>
    <n v="2.1681933"/>
    <n v="178190.78"/>
    <x v="0"/>
  </r>
  <r>
    <x v="248"/>
    <x v="0"/>
    <x v="1"/>
    <x v="5"/>
    <x v="18"/>
    <s v="BLOCK STOCK"/>
    <s v="BLOCK STOCK"/>
    <x v="2"/>
    <x v="6"/>
    <s v="Purchase - Block Stock"/>
    <x v="6"/>
    <n v="4.5198"/>
    <n v="0.18229239999999999"/>
    <n v="0.27953990000000001"/>
    <n v="1.5388474000000001"/>
    <n v="2.8810243"/>
    <n v="0.60621720000000001"/>
    <n v="0.39089190000000001"/>
    <n v="0.29343399999999997"/>
    <n v="0.23488419999999999"/>
    <n v="1.9554373"/>
    <n v="1.2004319000000001"/>
    <n v="0.11540060000000001"/>
    <n v="14.1981649"/>
    <m/>
    <n v="0.72201919999999997"/>
    <n v="44326.58"/>
    <x v="0"/>
  </r>
  <r>
    <x v="249"/>
    <x v="0"/>
    <x v="1"/>
    <x v="5"/>
    <x v="18"/>
    <s v="BLOCK STOCK"/>
    <s v="BLOCK STOCK"/>
    <x v="2"/>
    <x v="6"/>
    <s v="Purchase - Crockery &amp; Cutlery"/>
    <x v="6"/>
    <n v="-1.66E-2"/>
    <n v="-1.31045E-2"/>
    <n v="7.8845399999999996E-2"/>
    <n v="5.1195499999999998E-2"/>
    <n v="9.1870499999999994E-2"/>
    <n v="-5.04164E-2"/>
    <n v="2.97661E-2"/>
    <n v="-2.2619899999999998E-2"/>
    <n v="-4.3484500000000002E-2"/>
    <n v="2.03155E-2"/>
    <n v="-7.1160000000000001E-2"/>
    <n v="-1.7399999999999999E-2"/>
    <n v="3.7161699999999999E-2"/>
    <m/>
    <n v="-0.10136000000000001"/>
    <n v="9501.36"/>
    <x v="0"/>
  </r>
  <r>
    <x v="250"/>
    <x v="0"/>
    <x v="1"/>
    <x v="5"/>
    <x v="18"/>
    <s v="REPAIRS &amp; MAINTENANCE - VARIBLES"/>
    <s v="R&amp;M MACHINERY"/>
    <x v="2"/>
    <x v="16"/>
    <s v="Machinery Repair"/>
    <x v="16"/>
    <n v="0.89680000000000004"/>
    <n v="0.16520000000000001"/>
    <n v="0.67317000000000005"/>
    <n v="1.4368000000000001"/>
    <n v="3.6494900000000001"/>
    <n v="0.23372000000000001"/>
    <n v="0.98823000000000005"/>
    <n v="0.17712"/>
    <n v="0.1416"/>
    <n v="1.1003700000000001"/>
    <n v="0.31981999999999999"/>
    <n v="2.1339299999999999"/>
    <n v="11.91625"/>
    <m/>
    <n v="0.30371999999999999"/>
    <n v="101160.4"/>
    <x v="0"/>
  </r>
  <r>
    <x v="251"/>
    <x v="0"/>
    <x v="1"/>
    <x v="5"/>
    <x v="18"/>
    <s v="REPAIRS &amp; MAINTENANCE - VARIBLES"/>
    <s v="HOUSEMAINTENANCE"/>
    <x v="2"/>
    <x v="16"/>
    <s v="Sanitation Expense"/>
    <x v="16"/>
    <n v="6.5468000000000002"/>
    <n v="6.3349599999999997"/>
    <n v="6.5252499999999998"/>
    <n v="5.9810999999999996"/>
    <n v="7.3338850000000004"/>
    <n v="6.92204"/>
    <n v="6.90069"/>
    <n v="7.0832600000000001"/>
    <n v="7.8619199999999996"/>
    <n v="7.9291400000000003"/>
    <n v="7.3338850000000004"/>
    <n v="5.3245399999999998"/>
    <n v="82.077470000000005"/>
    <m/>
    <n v="6.7804000000000002"/>
    <n v="718971"/>
    <x v="0"/>
  </r>
  <r>
    <x v="252"/>
    <x v="0"/>
    <x v="1"/>
    <x v="5"/>
    <x v="18"/>
    <s v="REPAIRS &amp; MAINTENANCE FIXED"/>
    <s v="R&amp;M IT"/>
    <x v="2"/>
    <x v="16"/>
    <s v="Amc Software"/>
    <x v="16"/>
    <n v="9.35E-2"/>
    <n v="9.3469999999999998E-2"/>
    <n v="9.3469999999999998E-2"/>
    <n v="0"/>
    <n v="0"/>
    <n v="0"/>
    <n v="9.3469999999999998E-2"/>
    <n v="9.3469999999999998E-2"/>
    <n v="9.3469999999999998E-2"/>
    <n v="9.3469999999999998E-2"/>
    <n v="9.3469999999999998E-2"/>
    <n v="0.11287"/>
    <n v="0.86063000000000001"/>
    <m/>
    <n v="0"/>
    <n v="20967"/>
    <x v="0"/>
  </r>
  <r>
    <x v="253"/>
    <x v="0"/>
    <x v="1"/>
    <x v="5"/>
    <x v="18"/>
    <s v="RENT,RATES,TAXES &amp; INSURANCE"/>
    <s v="RATES &amp; TAXES"/>
    <x v="2"/>
    <x v="18"/>
    <s v="Rates &amp; Taxes"/>
    <x v="18"/>
    <n v="-4.0000000000000002E-4"/>
    <n v="-4.8000000000000001E-4"/>
    <n v="3.4904900000000003E-2"/>
    <n v="-1.9999000000000002E-3"/>
    <n v="-9.0240000000000003E-4"/>
    <n v="-1.189E-4"/>
    <n v="4.1200000000000004E-3"/>
    <n v="3.3347599999999998E-2"/>
    <n v="0"/>
    <n v="-3.3300000000000003E-5"/>
    <n v="-5.8999999999999998E-5"/>
    <n v="0"/>
    <n v="6.8407899999999994E-2"/>
    <m/>
    <n v="0"/>
    <n v="-74.989999999999995"/>
    <x v="0"/>
  </r>
  <r>
    <x v="254"/>
    <x v="0"/>
    <x v="1"/>
    <x v="5"/>
    <x v="18"/>
    <s v="ADMINISTRATION EXPENSE"/>
    <s v="DISCOUNTS &amp; ALLOWANCES"/>
    <x v="2"/>
    <x v="6"/>
    <s v="Purchase - Provisions &amp; Stores"/>
    <x v="6"/>
    <n v="-4.9700000000000001E-2"/>
    <n v="-6.3194799999999995E-2"/>
    <n v="-3.8336500000000003E-2"/>
    <n v="-6.4189800000000005E-2"/>
    <n v="-5.2800699999999999E-2"/>
    <n v="-6.8206299999999997E-2"/>
    <n v="-6.5132499999999996E-2"/>
    <n v="-5.0587300000000002E-2"/>
    <n v="-6.0636299999999997E-2"/>
    <n v="-6.8368499999999999E-2"/>
    <n v="-5.5413299999999999E-2"/>
    <n v="-6.1018900000000001E-2"/>
    <n v="-0.69762489999999999"/>
    <m/>
    <n v="-4.6884700000000001E-2"/>
    <n v="-7603.03"/>
    <x v="0"/>
  </r>
  <r>
    <x v="255"/>
    <x v="0"/>
    <x v="1"/>
    <x v="5"/>
    <x v="18"/>
    <s v="ADMINISTRATION EXPENSE"/>
    <s v="TRAVELLING EXPENSES"/>
    <x v="2"/>
    <x v="26"/>
    <s v="Conveyance Expense"/>
    <x v="26"/>
    <n v="2.75E-2"/>
    <n v="1.7624000000000001E-2"/>
    <n v="1.9720000000000001E-2"/>
    <n v="2.0400000000000001E-2"/>
    <n v="0"/>
    <n v="0"/>
    <n v="9.9000000000000008E-3"/>
    <n v="0"/>
    <n v="0"/>
    <n v="4.2299999999999997E-2"/>
    <n v="8.0000000000000002E-3"/>
    <n v="8.5000000000000006E-3"/>
    <n v="0.153944"/>
    <m/>
    <n v="3.4023999999999999E-2"/>
    <n v="1538"/>
    <x v="0"/>
  </r>
  <r>
    <x v="256"/>
    <x v="0"/>
    <x v="1"/>
    <x v="5"/>
    <x v="18"/>
    <s v="ADMINISTRATION EXPENSE"/>
    <s v="TRAVELLING EXPENSES"/>
    <x v="2"/>
    <x v="26"/>
    <s v="Travelling Expense Others"/>
    <x v="26"/>
    <n v="10.7972"/>
    <n v="10.62744"/>
    <n v="10.712619999999999"/>
    <n v="11.250249999999999"/>
    <n v="12.63944"/>
    <n v="14.00137"/>
    <n v="11.66497"/>
    <n v="11.454969999999999"/>
    <n v="12.32704"/>
    <n v="12.75249"/>
    <n v="12.56427"/>
    <n v="10.650930000000001"/>
    <n v="141.44300999999999"/>
    <m/>
    <n v="12.49207"/>
    <n v="1218751"/>
    <x v="0"/>
  </r>
  <r>
    <x v="257"/>
    <x v="0"/>
    <x v="1"/>
    <x v="5"/>
    <x v="18"/>
    <s v="BANK CHARGES"/>
    <s v="BANK CHARGES"/>
    <x v="2"/>
    <x v="10"/>
    <s v="Credit Card Commission"/>
    <x v="10"/>
    <n v="7.4999999999999997E-3"/>
    <n v="8.5868000000000003E-3"/>
    <n v="7.2924000000000001E-3"/>
    <n v="0"/>
    <n v="4.1280000000000001E-4"/>
    <n v="0"/>
    <n v="4.4529999999999998E-4"/>
    <n v="2.7469799999999999E-2"/>
    <n v="0"/>
    <n v="3.5682400000000003E-2"/>
    <n v="4.0604599999999998E-2"/>
    <n v="2.0192600000000002E-2"/>
    <n v="0.14822560000000001"/>
    <m/>
    <n v="0"/>
    <n v="0"/>
    <x v="0"/>
  </r>
  <r>
    <x v="67"/>
    <x v="0"/>
    <x v="1"/>
    <x v="5"/>
    <x v="18"/>
    <s v="INTEREST AND BANK CHARGES"/>
    <s v="INTEREST AND BANK CHARGES"/>
    <x v="2"/>
    <x v="10"/>
    <s v="Bank Charges"/>
    <x v="10"/>
    <n v="3.7000000000000002E-3"/>
    <n v="4.0001999999999998E-3"/>
    <n v="0"/>
    <n v="0"/>
    <n v="0"/>
    <n v="0"/>
    <n v="0"/>
    <n v="0"/>
    <n v="0"/>
    <n v="3.4456000000000001E-3"/>
    <n v="3.5046000000000001E-3"/>
    <n v="0"/>
    <n v="1.4690999999999999E-2"/>
    <m/>
    <n v="0"/>
    <n v="0"/>
    <x v="0"/>
  </r>
  <r>
    <x v="258"/>
    <x v="0"/>
    <x v="0"/>
    <x v="4"/>
    <x v="17"/>
    <s v="F &amp; B REVENUE (GST)"/>
    <s v="F &amp; B REVENUE (GST)"/>
    <x v="2"/>
    <x v="28"/>
    <s v="Mrp Sales"/>
    <x v="28"/>
    <n v="0"/>
    <n v="0"/>
    <n v="9.3760000000000002E-4"/>
    <n v="-1.0315299999999999E-2"/>
    <n v="0"/>
    <n v="0"/>
    <n v="0"/>
    <n v="0"/>
    <n v="0"/>
    <n v="0"/>
    <n v="0"/>
    <n v="0"/>
    <n v="-9.3776999999999992E-3"/>
    <m/>
    <n v="0"/>
    <n v="0"/>
    <x v="0"/>
  </r>
  <r>
    <x v="259"/>
    <x v="0"/>
    <x v="1"/>
    <x v="5"/>
    <x v="18"/>
    <s v="RAW MATERIAL COST"/>
    <s v="RAW MATERIAL COST"/>
    <x v="2"/>
    <x v="6"/>
    <s v="Purchase - Cake Mixing Items"/>
    <x v="6"/>
    <n v="0"/>
    <n v="5.0007999999999997E-3"/>
    <n v="1.5435038999999999"/>
    <n v="0.1915"/>
    <n v="1.1250400000000001E-2"/>
    <n v="1.0248200000000001E-2"/>
    <n v="0"/>
    <n v="4.7387999999999996E-3"/>
    <n v="3.8893051000000001"/>
    <n v="0.45701989999999998"/>
    <n v="0"/>
    <n v="0"/>
    <n v="6.1125670999999997"/>
    <m/>
    <n v="0"/>
    <n v="0"/>
    <x v="0"/>
  </r>
  <r>
    <x v="69"/>
    <x v="0"/>
    <x v="1"/>
    <x v="5"/>
    <x v="18"/>
    <s v="ADMINISTRATION EXPENSE"/>
    <s v="TRAVELLING EXPENSES"/>
    <x v="2"/>
    <x v="11"/>
    <s v="Fuel Charge"/>
    <x v="11"/>
    <n v="0"/>
    <n v="2.5700000000000001E-2"/>
    <n v="0"/>
    <n v="3.039E-2"/>
    <n v="2.01E-2"/>
    <n v="0"/>
    <n v="3.49E-2"/>
    <n v="0"/>
    <n v="4.0996199999999997E-2"/>
    <n v="2.2270000000000002E-2"/>
    <n v="0"/>
    <n v="3.7060000000000003E-2"/>
    <n v="0.2114162"/>
    <m/>
    <n v="1.9939999999999999E-2"/>
    <n v="0"/>
    <x v="0"/>
  </r>
  <r>
    <x v="260"/>
    <x v="0"/>
    <x v="1"/>
    <x v="5"/>
    <x v="18"/>
    <s v="LEGAL &amp; PROFESSIONAL FEE"/>
    <s v="LEGAL &amp; PROFESSIONAL FEE"/>
    <x v="2"/>
    <x v="12"/>
    <s v="Professional Fee"/>
    <x v="12"/>
    <n v="0"/>
    <n v="0"/>
    <n v="0"/>
    <n v="0"/>
    <n v="1.0575041999999999"/>
    <n v="0"/>
    <n v="4.1200000000000004E-3"/>
    <n v="4.1200000000000004E-3"/>
    <n v="4.0400000000000002E-3"/>
    <n v="0"/>
    <n v="0"/>
    <n v="0"/>
    <n v="1.0697842"/>
    <m/>
    <n v="0"/>
    <n v="3540"/>
    <x v="0"/>
  </r>
  <r>
    <x v="261"/>
    <x v="0"/>
    <x v="1"/>
    <x v="5"/>
    <x v="18"/>
    <s v="MISCELLANEOUS EXPENSE"/>
    <s v="MISCELLANEOUS EXPENSE"/>
    <x v="2"/>
    <x v="12"/>
    <s v="Food Testing Charges"/>
    <x v="12"/>
    <n v="0"/>
    <n v="0"/>
    <n v="0"/>
    <n v="0.39483000000000001"/>
    <n v="7.4340000000000003E-2"/>
    <n v="2.6314000000000001E-2"/>
    <n v="0"/>
    <n v="0"/>
    <n v="0"/>
    <n v="0.24851000000000001"/>
    <n v="0"/>
    <n v="5.629E-2"/>
    <n v="0.800284"/>
    <m/>
    <n v="5.2040000000000003E-2"/>
    <n v="4720"/>
    <x v="0"/>
  </r>
  <r>
    <x v="262"/>
    <x v="0"/>
    <x v="0"/>
    <x v="4"/>
    <x v="17"/>
    <s v="F &amp; B REVENUE (GST)"/>
    <s v="F &amp; B REVENUE (GST)"/>
    <x v="2"/>
    <x v="28"/>
    <s v="Others"/>
    <x v="28"/>
    <n v="0"/>
    <n v="-5.7140000000000001E-4"/>
    <n v="0"/>
    <n v="0"/>
    <n v="-2.8570000000000001E-4"/>
    <n v="0"/>
    <n v="0"/>
    <n v="-5.7140000000000001E-4"/>
    <n v="-0.33981529999999999"/>
    <n v="-1.90286E-2"/>
    <n v="0"/>
    <n v="0"/>
    <n v="-0.36027239999999999"/>
    <m/>
    <n v="0"/>
    <n v="0"/>
    <x v="0"/>
  </r>
  <r>
    <x v="263"/>
    <x v="0"/>
    <x v="1"/>
    <x v="5"/>
    <x v="18"/>
    <s v="RAW MATERIAL COST"/>
    <s v="RAW MATERIAL COST"/>
    <x v="2"/>
    <x v="6"/>
    <s v="Purchase - Assets"/>
    <x v="6"/>
    <n v="0"/>
    <n v="0"/>
    <n v="0"/>
    <n v="0.25369999999999998"/>
    <n v="0.46695799999999998"/>
    <n v="0.1440708"/>
    <n v="0"/>
    <n v="0.82000019999999996"/>
    <n v="9.5343999999999998E-2"/>
    <n v="0.1298"/>
    <n v="0"/>
    <n v="0"/>
    <n v="1.9098729999999999"/>
    <m/>
    <n v="0.31063429999999997"/>
    <n v="0"/>
    <x v="0"/>
  </r>
  <r>
    <x v="264"/>
    <x v="0"/>
    <x v="1"/>
    <x v="5"/>
    <x v="18"/>
    <s v="RENT"/>
    <s v="Rent"/>
    <x v="2"/>
    <x v="15"/>
    <s v="Rent Of Equipments And Machinery"/>
    <x v="15"/>
    <n v="0"/>
    <n v="0"/>
    <n v="3.1399999999999997E-2"/>
    <n v="4.7699999999999999E-2"/>
    <n v="1.6E-2"/>
    <n v="0"/>
    <n v="0.19850000000000001"/>
    <n v="1.0091600000000001"/>
    <n v="0"/>
    <n v="1.4E-2"/>
    <n v="0"/>
    <n v="0"/>
    <n v="1.3167599999999999"/>
    <m/>
    <n v="0"/>
    <n v="0"/>
    <x v="0"/>
  </r>
  <r>
    <x v="265"/>
    <x v="0"/>
    <x v="1"/>
    <x v="5"/>
    <x v="18"/>
    <s v="REPAIRS &amp; MAINTENANCE - VARIBLES"/>
    <s v="R&amp;M OTHERS VARIABLES"/>
    <x v="2"/>
    <x v="16"/>
    <s v="Others"/>
    <x v="16"/>
    <n v="0"/>
    <n v="0"/>
    <n v="0"/>
    <n v="0"/>
    <n v="0"/>
    <n v="0"/>
    <n v="0"/>
    <n v="0"/>
    <n v="0"/>
    <n v="0"/>
    <n v="0"/>
    <n v="0"/>
    <n v="0"/>
    <m/>
    <n v="0"/>
    <n v="0"/>
    <x v="0"/>
  </r>
  <r>
    <x v="266"/>
    <x v="0"/>
    <x v="1"/>
    <x v="5"/>
    <x v="18"/>
    <s v="ADMINISTRATION EXPENSE"/>
    <s v="TRAVELLING EXPENSES"/>
    <x v="2"/>
    <x v="26"/>
    <s v="Transportation Expense"/>
    <x v="26"/>
    <n v="0"/>
    <n v="0"/>
    <n v="0"/>
    <n v="0"/>
    <n v="0"/>
    <n v="0"/>
    <n v="0"/>
    <n v="0"/>
    <n v="0"/>
    <n v="0"/>
    <n v="6.0000000000000001E-3"/>
    <n v="0"/>
    <n v="6.0000000000000001E-3"/>
    <m/>
    <n v="0"/>
    <n v="4000"/>
    <x v="0"/>
  </r>
  <r>
    <x v="118"/>
    <x v="0"/>
    <x v="1"/>
    <x v="5"/>
    <x v="18"/>
    <s v="MISCELLANEOUS EXPENSE"/>
    <s v="MISCELLANEOUS EXPENSE"/>
    <x v="2"/>
    <x v="7"/>
    <s v="Other Expenses"/>
    <x v="7"/>
    <n v="0"/>
    <n v="0"/>
    <n v="0"/>
    <n v="0"/>
    <n v="0"/>
    <n v="0"/>
    <n v="0"/>
    <n v="0"/>
    <n v="0"/>
    <n v="0"/>
    <n v="0"/>
    <n v="0"/>
    <n v="0"/>
    <m/>
    <n v="0.36923"/>
    <n v="0"/>
    <x v="0"/>
  </r>
  <r>
    <x v="267"/>
    <x v="0"/>
    <x v="1"/>
    <x v="5"/>
    <x v="18"/>
    <m/>
    <m/>
    <x v="2"/>
    <x v="7"/>
    <s v="Other Expenses"/>
    <x v="7"/>
    <n v="7.0000000000000007E-2"/>
    <n v="1.6199999999999999E-2"/>
    <n v="0"/>
    <n v="0"/>
    <n v="0"/>
    <n v="0"/>
    <n v="0"/>
    <n v="0"/>
    <n v="0"/>
    <n v="0"/>
    <n v="0"/>
    <n v="0"/>
    <n v="8.6199999999999999E-2"/>
    <m/>
    <n v="0"/>
    <n v="0"/>
    <x v="0"/>
  </r>
  <r>
    <x v="268"/>
    <x v="0"/>
    <x v="1"/>
    <x v="5"/>
    <x v="18"/>
    <m/>
    <m/>
    <x v="2"/>
    <x v="8"/>
    <s v="Sallaries And Allowances"/>
    <x v="8"/>
    <m/>
    <m/>
    <m/>
    <n v="0.105"/>
    <n v="0"/>
    <n v="0"/>
    <n v="0"/>
    <n v="0"/>
    <n v="0"/>
    <n v="0"/>
    <n v="0"/>
    <n v="0"/>
    <n v="0.105"/>
    <m/>
    <n v="0"/>
    <n v="0"/>
    <x v="0"/>
  </r>
  <r>
    <x v="269"/>
    <x v="0"/>
    <x v="0"/>
    <x v="4"/>
    <x v="17"/>
    <s v="OTHER INCOME"/>
    <s v="OTHER INCOME"/>
    <x v="2"/>
    <x v="4"/>
    <s v="Other Income"/>
    <x v="4"/>
    <m/>
    <m/>
    <m/>
    <m/>
    <m/>
    <n v="-0.12991"/>
    <n v="0"/>
    <n v="0"/>
    <n v="0"/>
    <n v="0"/>
    <n v="0"/>
    <n v="0"/>
    <n v="-0.12991"/>
    <m/>
    <n v="0"/>
    <n v="0"/>
    <x v="0"/>
  </r>
  <r>
    <x v="270"/>
    <x v="0"/>
    <x v="0"/>
    <x v="4"/>
    <x v="17"/>
    <s v="F &amp; B REVENUE (GST)"/>
    <s v="F &amp; B REVENUE (GST)"/>
    <x v="2"/>
    <x v="28"/>
    <s v="Restaurant &amp; Coffee Shop Sales"/>
    <x v="28"/>
    <m/>
    <m/>
    <m/>
    <m/>
    <m/>
    <n v="-3.6997700000000001E-2"/>
    <n v="-0.21290339999999999"/>
    <n v="0.21582879999999999"/>
    <n v="-0.23900589999999999"/>
    <n v="-0.31486340000000002"/>
    <n v="-0.23383999999999999"/>
    <n v="-0.25629390000000002"/>
    <n v="-1.0780755"/>
    <m/>
    <n v="-0.35859930000000001"/>
    <n v="-25874.49"/>
    <x v="0"/>
  </r>
  <r>
    <x v="271"/>
    <x v="0"/>
    <x v="1"/>
    <x v="5"/>
    <x v="18"/>
    <m/>
    <m/>
    <x v="2"/>
    <x v="16"/>
    <s v="Machinery Repair"/>
    <x v="16"/>
    <m/>
    <m/>
    <m/>
    <m/>
    <m/>
    <m/>
    <m/>
    <m/>
    <m/>
    <m/>
    <m/>
    <m/>
    <n v="0"/>
    <m/>
    <n v="0.16520000000000001"/>
    <n v="0"/>
    <x v="0"/>
  </r>
  <r>
    <x v="179"/>
    <x v="1"/>
    <x v="2"/>
    <x v="3"/>
    <x v="15"/>
    <m/>
    <m/>
    <x v="2"/>
    <x v="27"/>
    <m/>
    <x v="27"/>
    <m/>
    <m/>
    <m/>
    <m/>
    <m/>
    <m/>
    <m/>
    <m/>
    <m/>
    <m/>
    <m/>
    <m/>
    <n v="0"/>
    <m/>
    <m/>
    <n v="275439"/>
    <x v="0"/>
  </r>
  <r>
    <x v="161"/>
    <x v="1"/>
    <x v="2"/>
    <x v="3"/>
    <x v="15"/>
    <m/>
    <m/>
    <x v="2"/>
    <x v="10"/>
    <m/>
    <x v="10"/>
    <m/>
    <m/>
    <m/>
    <m/>
    <m/>
    <m/>
    <m/>
    <m/>
    <m/>
    <m/>
    <n v="6.4000000000000005E-4"/>
    <n v="0"/>
    <n v="6.4000000000000005E-4"/>
    <m/>
    <n v="0"/>
    <n v="0"/>
    <x v="0"/>
  </r>
  <r>
    <x v="272"/>
    <x v="1"/>
    <x v="2"/>
    <x v="3"/>
    <x v="15"/>
    <m/>
    <m/>
    <x v="2"/>
    <x v="16"/>
    <m/>
    <x v="16"/>
    <m/>
    <m/>
    <m/>
    <m/>
    <m/>
    <m/>
    <m/>
    <m/>
    <m/>
    <n v="5.3099999999999996E-3"/>
    <n v="0"/>
    <n v="0"/>
    <n v="5.3099999999999996E-3"/>
    <m/>
    <n v="0"/>
    <n v="0"/>
    <x v="0"/>
  </r>
  <r>
    <x v="116"/>
    <x v="1"/>
    <x v="2"/>
    <x v="3"/>
    <x v="15"/>
    <m/>
    <m/>
    <x v="2"/>
    <x v="16"/>
    <m/>
    <x v="16"/>
    <m/>
    <m/>
    <m/>
    <m/>
    <m/>
    <m/>
    <m/>
    <m/>
    <m/>
    <m/>
    <m/>
    <n v="8.5250000000000006E-2"/>
    <n v="8.5250000000000006E-2"/>
    <m/>
    <n v="0"/>
    <n v="0"/>
    <x v="0"/>
  </r>
  <r>
    <x v="273"/>
    <x v="2"/>
    <x v="1"/>
    <x v="3"/>
    <x v="15"/>
    <m/>
    <m/>
    <x v="2"/>
    <x v="11"/>
    <m/>
    <x v="11"/>
    <n v="6.6050000000000004"/>
    <n v="6.8252128079999999"/>
    <n v="6.6050446530000002"/>
    <n v="6.8252128079999999"/>
    <n v="6.8252128079999999"/>
    <n v="6.6050446530000002"/>
    <n v="6.8252128079999999"/>
    <n v="6.6050446530000002"/>
    <n v="6.8252128079999999"/>
    <n v="6.8252128079999999"/>
    <n v="6.164708343"/>
    <n v="6.8252128079999999"/>
    <n v="80.361376612000001"/>
    <m/>
    <n v="6.8252128079999999"/>
    <n v="682521.28081000014"/>
    <x v="0"/>
  </r>
  <r>
    <x v="274"/>
    <x v="2"/>
    <x v="1"/>
    <x v="3"/>
    <x v="15"/>
    <m/>
    <m/>
    <x v="2"/>
    <x v="11"/>
    <m/>
    <x v="11"/>
    <n v="0.2041"/>
    <n v="0.21095096999999999"/>
    <n v="0.2041461"/>
    <n v="0.21095096999999999"/>
    <n v="0.21095096999999999"/>
    <n v="0.2041461"/>
    <n v="0.21095096999999999"/>
    <n v="0.2041461"/>
    <n v="0.21095096999999999"/>
    <n v="0.21095096999999999"/>
    <n v="0.19053635999999999"/>
    <n v="0.21095096999999999"/>
    <n v="2.4837775500000001"/>
    <m/>
    <n v="0"/>
    <n v="21095.096999999998"/>
    <x v="0"/>
  </r>
  <r>
    <x v="204"/>
    <x v="2"/>
    <x v="1"/>
    <x v="3"/>
    <x v="15"/>
    <m/>
    <m/>
    <x v="2"/>
    <x v="8"/>
    <m/>
    <x v="8"/>
    <n v="0.26029999999999998"/>
    <n v="0.26031253700000001"/>
    <n v="0.26031253700000001"/>
    <n v="0.26031253700000001"/>
    <n v="0.26031253700000001"/>
    <n v="0.26031253700000001"/>
    <n v="0.26031253700000001"/>
    <n v="0.26031253700000001"/>
    <n v="0.26031253700000001"/>
    <n v="0.26031253700000001"/>
    <n v="0.26031253700000001"/>
    <n v="0.26031253700000001"/>
    <n v="3.1237504390000002"/>
    <m/>
    <n v="0.26031253700000001"/>
    <n v="26031.253662029401"/>
    <x v="0"/>
  </r>
  <r>
    <x v="205"/>
    <x v="3"/>
    <x v="2"/>
    <x v="3"/>
    <x v="15"/>
    <m/>
    <m/>
    <x v="2"/>
    <x v="6"/>
    <s v="Opening Stock"/>
    <x v="6"/>
    <n v="11.6091"/>
    <n v="12.037206299999999"/>
    <n v="14.6506139"/>
    <n v="9.6493541999999994"/>
    <n v="12.0024011"/>
    <n v="14.9141312"/>
    <n v="12.8045139"/>
    <n v="11.106301"/>
    <n v="10.239102000000001"/>
    <n v="13.249151599999999"/>
    <n v="12.1056819"/>
    <n v="12.4347773"/>
    <n v="11.609094799999999"/>
    <m/>
    <n v="10.763413"/>
    <n v="1405519.78"/>
    <x v="0"/>
  </r>
  <r>
    <x v="206"/>
    <x v="3"/>
    <x v="2"/>
    <x v="3"/>
    <x v="15"/>
    <m/>
    <m/>
    <x v="2"/>
    <x v="6"/>
    <s v="Closing Stock"/>
    <x v="6"/>
    <n v="-12.0372"/>
    <n v="-14.6506139"/>
    <n v="-9.6493541999999994"/>
    <n v="-12.0024011"/>
    <n v="-14.9141312"/>
    <n v="-12.8045139"/>
    <n v="-11.106301"/>
    <n v="-10.239102000000001"/>
    <n v="-13.249151599999999"/>
    <n v="-12.1056819"/>
    <n v="-12.4347773"/>
    <n v="-10.763413"/>
    <n v="-10.763413"/>
    <m/>
    <n v="-14.0551978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216B4-2DBD-4E64-BBCB-3FE921B038A8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rowHeaderCaption="Group" fieldListSortAscending="1">
  <location ref="B7:G315" firstHeaderRow="0" firstDataRow="1" firstDataCol="3" rowPageCount="1" colPageCount="1"/>
  <pivotFields count="28">
    <pivotField axis="axisRow" compact="0" outline="0" showAll="0">
      <items count="281">
        <item m="1" x="279"/>
        <item x="113"/>
        <item x="159"/>
        <item x="26"/>
        <item x="125"/>
        <item x="141"/>
        <item x="270"/>
        <item x="218"/>
        <item x="252"/>
        <item x="89"/>
        <item x="178"/>
        <item x="8"/>
        <item x="107"/>
        <item x="219"/>
        <item x="66"/>
        <item x="67"/>
        <item x="68"/>
        <item x="220"/>
        <item x="82"/>
        <item x="7"/>
        <item x="173"/>
        <item x="114"/>
        <item x="175"/>
        <item x="115"/>
        <item x="116"/>
        <item x="232"/>
        <item x="9"/>
        <item x="185"/>
        <item x="85"/>
        <item x="184"/>
        <item x="206"/>
        <item x="147"/>
        <item x="27"/>
        <item x="109"/>
        <item x="110"/>
        <item x="221"/>
        <item x="37"/>
        <item x="188"/>
        <item x="38"/>
        <item x="39"/>
        <item x="40"/>
        <item x="41"/>
        <item x="42"/>
        <item x="43"/>
        <item x="44"/>
        <item x="45"/>
        <item x="46"/>
        <item x="75"/>
        <item x="77"/>
        <item x="76"/>
        <item x="164"/>
        <item x="255"/>
        <item x="162"/>
        <item x="257"/>
        <item x="47"/>
        <item x="208"/>
        <item x="48"/>
        <item x="148"/>
        <item m="1" x="275"/>
        <item m="1" x="276"/>
        <item x="179"/>
        <item x="180"/>
        <item x="13"/>
        <item x="117"/>
        <item x="254"/>
        <item x="62"/>
        <item x="57"/>
        <item x="24"/>
        <item x="134"/>
        <item x="182"/>
        <item x="72"/>
        <item x="73"/>
        <item x="187"/>
        <item x="83"/>
        <item x="59"/>
        <item x="111"/>
        <item x="269"/>
        <item x="54"/>
        <item x="36"/>
        <item x="153"/>
        <item x="222"/>
        <item x="104"/>
        <item x="55"/>
        <item x="261"/>
        <item x="69"/>
        <item x="223"/>
        <item x="171"/>
        <item x="183"/>
        <item x="194"/>
        <item x="4"/>
        <item x="78"/>
        <item x="181"/>
        <item x="126"/>
        <item x="127"/>
        <item x="128"/>
        <item x="129"/>
        <item x="130"/>
        <item x="131"/>
        <item x="132"/>
        <item x="10"/>
        <item x="170"/>
        <item x="100"/>
        <item x="101"/>
        <item x="102"/>
        <item x="103"/>
        <item x="174"/>
        <item x="135"/>
        <item x="136"/>
        <item x="197"/>
        <item x="177"/>
        <item x="161"/>
        <item x="169"/>
        <item x="12"/>
        <item x="193"/>
        <item x="108"/>
        <item x="168"/>
        <item x="49"/>
        <item x="224"/>
        <item x="225"/>
        <item x="226"/>
        <item x="210"/>
        <item x="160"/>
        <item x="198"/>
        <item x="207"/>
        <item x="81"/>
        <item x="5"/>
        <item x="3"/>
        <item x="268"/>
        <item x="246"/>
        <item x="79"/>
        <item x="172"/>
        <item x="142"/>
        <item x="105"/>
        <item x="186"/>
        <item x="112"/>
        <item x="154"/>
        <item x="63"/>
        <item x="118"/>
        <item x="14"/>
        <item x="258"/>
        <item x="227"/>
        <item x="228"/>
        <item x="229"/>
        <item x="230"/>
        <item x="191"/>
        <item x="143"/>
        <item x="144"/>
        <item x="15"/>
        <item x="64"/>
        <item x="137"/>
        <item x="189"/>
        <item x="50"/>
        <item x="205"/>
        <item x="215"/>
        <item x="267"/>
        <item x="11"/>
        <item x="6"/>
        <item x="2"/>
        <item x="16"/>
        <item x="167"/>
        <item x="213"/>
        <item x="214"/>
        <item x="145"/>
        <item x="138"/>
        <item x="60"/>
        <item x="61"/>
        <item x="0"/>
        <item x="1"/>
        <item x="139"/>
        <item x="140"/>
        <item x="124"/>
        <item x="176"/>
        <item x="146"/>
        <item x="260"/>
        <item x="211"/>
        <item x="18"/>
        <item x="19"/>
        <item x="149"/>
        <item x="263"/>
        <item x="234"/>
        <item x="248"/>
        <item x="259"/>
        <item x="249"/>
        <item x="235"/>
        <item x="233"/>
        <item x="236"/>
        <item x="247"/>
        <item x="237"/>
        <item x="238"/>
        <item x="239"/>
        <item x="245"/>
        <item x="209"/>
        <item x="51"/>
        <item x="190"/>
        <item x="166"/>
        <item x="30"/>
        <item x="31"/>
        <item x="32"/>
        <item x="196"/>
        <item x="33"/>
        <item x="29"/>
        <item x="34"/>
        <item x="35"/>
        <item x="119"/>
        <item x="250"/>
        <item x="265"/>
        <item x="253"/>
        <item x="106"/>
        <item x="133"/>
        <item x="52"/>
        <item x="264"/>
        <item x="84"/>
        <item x="23"/>
        <item x="93"/>
        <item x="94"/>
        <item x="95"/>
        <item x="96"/>
        <item x="97"/>
        <item x="98"/>
        <item x="86"/>
        <item x="87"/>
        <item x="88"/>
        <item x="91"/>
        <item x="90"/>
        <item x="92"/>
        <item x="163"/>
        <item x="120"/>
        <item x="17"/>
        <item x="56"/>
        <item x="241"/>
        <item x="53"/>
        <item x="20"/>
        <item x="251"/>
        <item x="216"/>
        <item x="151"/>
        <item x="272"/>
        <item x="74"/>
        <item x="99"/>
        <item x="165"/>
        <item x="242"/>
        <item x="243"/>
        <item x="121"/>
        <item x="231"/>
        <item x="244"/>
        <item x="65"/>
        <item x="122"/>
        <item x="123"/>
        <item x="21"/>
        <item x="152"/>
        <item x="192"/>
        <item x="58"/>
        <item x="25"/>
        <item x="240"/>
        <item x="155"/>
        <item x="266"/>
        <item x="217"/>
        <item x="156"/>
        <item x="157"/>
        <item x="256"/>
        <item x="22"/>
        <item x="195"/>
        <item x="158"/>
        <item x="150"/>
        <item m="1" x="277"/>
        <item x="80"/>
        <item x="70"/>
        <item x="71"/>
        <item x="262"/>
        <item m="1" x="278"/>
        <item x="200"/>
        <item x="201"/>
        <item x="202"/>
        <item x="212"/>
        <item x="273"/>
        <item x="274"/>
        <item x="204"/>
        <item x="203"/>
        <item x="271"/>
        <item x="28"/>
        <item x="1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1"/>
        <item x="2"/>
        <item x="0"/>
        <item t="default"/>
      </items>
    </pivotField>
    <pivotField name="PL_Group" axis="axisRow" compact="0" outline="0" showAll="0" defaultSubtotal="0">
      <items count="33">
        <item m="1" x="32"/>
        <item x="5"/>
        <item x="26"/>
        <item m="1" x="30"/>
        <item x="23"/>
        <item x="24"/>
        <item x="27"/>
        <item x="9"/>
        <item x="8"/>
        <item x="28"/>
        <item x="10"/>
        <item x="13"/>
        <item x="17"/>
        <item x="0"/>
        <item x="3"/>
        <item x="14"/>
        <item x="22"/>
        <item x="6"/>
        <item x="7"/>
        <item x="1"/>
        <item x="2"/>
        <item x="4"/>
        <item x="21"/>
        <item x="12"/>
        <item x="20"/>
        <item x="19"/>
        <item x="18"/>
        <item x="15"/>
        <item x="16"/>
        <item x="25"/>
        <item m="1" x="29"/>
        <item x="11"/>
        <item m="1" x="31"/>
      </items>
    </pivotField>
    <pivotField compact="0" outline="0" showAll="0"/>
    <pivotField name="Annex" axis="axisRow" compact="0" outline="0" showAll="0" includeNewItemsInFilter="1">
      <items count="33">
        <item m="1" x="29"/>
        <item x="3"/>
        <item x="0"/>
        <item x="2"/>
        <item x="1"/>
        <item x="5"/>
        <item x="28"/>
        <item x="4"/>
        <item x="6"/>
        <item x="9"/>
        <item x="8"/>
        <item x="11"/>
        <item x="16"/>
        <item x="22"/>
        <item x="14"/>
        <item x="15"/>
        <item x="13"/>
        <item x="25"/>
        <item x="21"/>
        <item x="17"/>
        <item x="18"/>
        <item x="12"/>
        <item x="19"/>
        <item x="20"/>
        <item x="23"/>
        <item x="26"/>
        <item x="7"/>
        <item x="24"/>
        <item x="27"/>
        <item m="1" x="30"/>
        <item x="10"/>
        <item m="1" x="3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3">
    <field x="10"/>
    <field x="8"/>
    <field x="0"/>
  </rowFields>
  <rowItems count="308">
    <i>
      <x v="1"/>
      <x v="14"/>
      <x v="38"/>
    </i>
    <i r="2">
      <x v="40"/>
    </i>
    <i r="2">
      <x v="41"/>
    </i>
    <i r="2">
      <x v="42"/>
    </i>
    <i r="2">
      <x v="52"/>
    </i>
    <i r="2">
      <x v="54"/>
    </i>
    <i r="2">
      <x v="56"/>
    </i>
    <i r="2">
      <x v="89"/>
    </i>
    <i r="2">
      <x v="115"/>
    </i>
    <i r="2">
      <x v="116"/>
    </i>
    <i r="2">
      <x v="125"/>
    </i>
    <i r="2">
      <x v="156"/>
    </i>
    <i r="2">
      <x v="225"/>
    </i>
    <i t="default">
      <x v="1"/>
    </i>
    <i>
      <x v="2"/>
      <x v="13"/>
      <x v="45"/>
    </i>
    <i r="2">
      <x v="166"/>
    </i>
    <i t="default">
      <x v="2"/>
    </i>
    <i>
      <x v="3"/>
      <x v="20"/>
      <x v="11"/>
    </i>
    <i r="2">
      <x v="19"/>
    </i>
    <i r="2">
      <x v="39"/>
    </i>
    <i r="2">
      <x v="43"/>
    </i>
    <i r="2">
      <x v="44"/>
    </i>
    <i r="2">
      <x v="55"/>
    </i>
    <i r="2">
      <x v="123"/>
    </i>
    <i r="2">
      <x v="126"/>
    </i>
    <i r="2">
      <x v="151"/>
    </i>
    <i r="2">
      <x v="157"/>
    </i>
    <i r="2">
      <x v="191"/>
    </i>
    <i r="2">
      <x v="278"/>
    </i>
    <i t="default">
      <x v="3"/>
    </i>
    <i>
      <x v="4"/>
      <x v="19"/>
      <x v="26"/>
    </i>
    <i r="2">
      <x v="45"/>
    </i>
    <i r="2">
      <x v="46"/>
    </i>
    <i r="2">
      <x v="166"/>
    </i>
    <i r="2">
      <x v="167"/>
    </i>
    <i t="default">
      <x v="4"/>
    </i>
    <i>
      <x v="5"/>
      <x v="1"/>
      <x v="37"/>
    </i>
    <i r="2">
      <x v="155"/>
    </i>
    <i t="default">
      <x v="5"/>
    </i>
    <i>
      <x v="6"/>
      <x v="9"/>
      <x v="6"/>
    </i>
    <i r="2">
      <x v="7"/>
    </i>
    <i r="2">
      <x v="13"/>
    </i>
    <i r="2">
      <x v="17"/>
    </i>
    <i r="2">
      <x v="25"/>
    </i>
    <i r="2">
      <x v="35"/>
    </i>
    <i r="2">
      <x v="80"/>
    </i>
    <i r="2">
      <x v="85"/>
    </i>
    <i r="2">
      <x v="117"/>
    </i>
    <i r="2">
      <x v="118"/>
    </i>
    <i r="2">
      <x v="119"/>
    </i>
    <i r="2">
      <x v="139"/>
    </i>
    <i r="2">
      <x v="140"/>
    </i>
    <i r="2">
      <x v="141"/>
    </i>
    <i r="2">
      <x v="142"/>
    </i>
    <i r="2">
      <x v="143"/>
    </i>
    <i r="2">
      <x v="160"/>
    </i>
    <i r="2">
      <x v="161"/>
    </i>
    <i r="2">
      <x v="242"/>
    </i>
    <i r="2">
      <x v="267"/>
    </i>
    <i t="default">
      <x v="6"/>
    </i>
    <i>
      <x v="7"/>
      <x v="21"/>
      <x v="3"/>
    </i>
    <i r="2">
      <x v="32"/>
    </i>
    <i r="2">
      <x v="62"/>
    </i>
    <i r="2">
      <x v="67"/>
    </i>
    <i r="2">
      <x v="72"/>
    </i>
    <i r="2">
      <x v="76"/>
    </i>
    <i r="2">
      <x v="99"/>
    </i>
    <i r="2">
      <x v="100"/>
    </i>
    <i r="2">
      <x v="111"/>
    </i>
    <i r="2">
      <x v="112"/>
    </i>
    <i r="2">
      <x v="113"/>
    </i>
    <i r="2">
      <x v="138"/>
    </i>
    <i r="2">
      <x v="147"/>
    </i>
    <i r="2">
      <x v="153"/>
    </i>
    <i r="2">
      <x v="158"/>
    </i>
    <i r="2">
      <x v="175"/>
    </i>
    <i r="2">
      <x v="176"/>
    </i>
    <i r="2">
      <x v="212"/>
    </i>
    <i r="2">
      <x v="227"/>
    </i>
    <i r="2">
      <x v="231"/>
    </i>
    <i r="2">
      <x v="233"/>
    </i>
    <i r="2">
      <x v="247"/>
    </i>
    <i r="2">
      <x v="251"/>
    </i>
    <i r="2">
      <x v="255"/>
    </i>
    <i r="2">
      <x v="259"/>
    </i>
    <i r="2">
      <x v="279"/>
    </i>
    <i t="default">
      <x v="7"/>
    </i>
    <i>
      <x v="8"/>
      <x v="17"/>
      <x v="30"/>
    </i>
    <i r="2">
      <x v="50"/>
    </i>
    <i r="2">
      <x v="64"/>
    </i>
    <i r="2">
      <x v="152"/>
    </i>
    <i r="2">
      <x v="178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5"/>
    </i>
    <i r="2">
      <x v="187"/>
    </i>
    <i r="2">
      <x v="188"/>
    </i>
    <i r="2">
      <x v="189"/>
    </i>
    <i r="2">
      <x v="190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t="default">
      <x v="8"/>
    </i>
    <i>
      <x v="9"/>
      <x v="7"/>
      <x v="47"/>
    </i>
    <i r="2">
      <x v="48"/>
    </i>
    <i r="2">
      <x v="49"/>
    </i>
    <i r="2">
      <x v="92"/>
    </i>
    <i r="2">
      <x v="159"/>
    </i>
    <i r="2">
      <x v="230"/>
    </i>
    <i t="default">
      <x v="9"/>
    </i>
    <i>
      <x v="10"/>
      <x v="8"/>
      <x v="20"/>
    </i>
    <i r="2">
      <x v="65"/>
    </i>
    <i r="2">
      <x v="66"/>
    </i>
    <i r="2">
      <x v="74"/>
    </i>
    <i r="2">
      <x v="77"/>
    </i>
    <i r="2">
      <x v="82"/>
    </i>
    <i r="2">
      <x v="86"/>
    </i>
    <i r="2">
      <x v="87"/>
    </i>
    <i r="2">
      <x v="93"/>
    </i>
    <i r="2">
      <x v="95"/>
    </i>
    <i r="2">
      <x v="96"/>
    </i>
    <i r="2">
      <x v="97"/>
    </i>
    <i r="2">
      <x v="98"/>
    </i>
    <i r="2">
      <x v="127"/>
    </i>
    <i r="2">
      <x v="130"/>
    </i>
    <i r="2">
      <x v="136"/>
    </i>
    <i r="2">
      <x v="148"/>
    </i>
    <i r="2">
      <x v="150"/>
    </i>
    <i r="2">
      <x v="164"/>
    </i>
    <i r="2">
      <x v="165"/>
    </i>
    <i r="2">
      <x v="209"/>
    </i>
    <i r="2">
      <x v="228"/>
    </i>
    <i r="2">
      <x v="229"/>
    </i>
    <i r="2">
      <x v="241"/>
    </i>
    <i r="2">
      <x v="243"/>
    </i>
    <i r="2">
      <x v="244"/>
    </i>
    <i r="2">
      <x v="249"/>
    </i>
    <i r="2">
      <x v="250"/>
    </i>
    <i r="2">
      <x v="275"/>
    </i>
    <i t="default">
      <x v="10"/>
    </i>
    <i>
      <x v="11"/>
      <x v="31"/>
      <x v="70"/>
    </i>
    <i r="2">
      <x v="71"/>
    </i>
    <i r="2">
      <x v="84"/>
    </i>
    <i r="2">
      <x v="265"/>
    </i>
    <i r="2">
      <x v="266"/>
    </i>
    <i r="2">
      <x v="270"/>
    </i>
    <i r="2">
      <x v="271"/>
    </i>
    <i r="2">
      <x v="273"/>
    </i>
    <i r="2">
      <x v="274"/>
    </i>
    <i t="default">
      <x v="11"/>
    </i>
    <i>
      <x v="12"/>
      <x v="28"/>
      <x v="8"/>
    </i>
    <i r="2">
      <x v="9"/>
    </i>
    <i r="2">
      <x v="24"/>
    </i>
    <i r="2">
      <x v="27"/>
    </i>
    <i r="2">
      <x v="28"/>
    </i>
    <i r="2">
      <x v="29"/>
    </i>
    <i r="2">
      <x v="204"/>
    </i>
    <i r="2">
      <x v="205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32"/>
    </i>
    <i r="2">
      <x v="235"/>
    </i>
    <i r="2">
      <x v="237"/>
    </i>
    <i r="2">
      <x v="261"/>
    </i>
    <i r="2">
      <x v="277"/>
    </i>
    <i t="default">
      <x v="12"/>
    </i>
    <i>
      <x v="13"/>
      <x v="16"/>
      <x v="4"/>
    </i>
    <i r="2">
      <x v="31"/>
    </i>
    <i r="2">
      <x v="94"/>
    </i>
    <i r="2">
      <x v="135"/>
    </i>
    <i r="2">
      <x v="177"/>
    </i>
    <i r="2">
      <x v="238"/>
    </i>
    <i r="2">
      <x v="257"/>
    </i>
    <i r="2">
      <x v="262"/>
    </i>
    <i t="default">
      <x v="13"/>
    </i>
    <i>
      <x v="14"/>
      <x v="15"/>
      <x v="124"/>
    </i>
    <i t="default">
      <x v="14"/>
    </i>
    <i>
      <x v="15"/>
      <x v="27"/>
      <x v="18"/>
    </i>
    <i r="2">
      <x v="73"/>
    </i>
    <i r="2">
      <x v="121"/>
    </i>
    <i r="2">
      <x v="210"/>
    </i>
    <i r="2">
      <x v="211"/>
    </i>
    <i r="2">
      <x v="239"/>
    </i>
    <i r="2">
      <x v="240"/>
    </i>
    <i r="2">
      <x v="269"/>
    </i>
    <i r="2">
      <x v="272"/>
    </i>
    <i t="default">
      <x v="15"/>
    </i>
    <i>
      <x v="16"/>
      <x v="11"/>
      <x v="90"/>
    </i>
    <i r="2">
      <x v="128"/>
    </i>
    <i r="2">
      <x v="129"/>
    </i>
    <i r="2">
      <x v="186"/>
    </i>
    <i r="2">
      <x v="264"/>
    </i>
    <i t="default">
      <x v="16"/>
    </i>
    <i>
      <x v="17"/>
      <x v="29"/>
      <x v="234"/>
    </i>
    <i t="default">
      <x v="17"/>
    </i>
    <i>
      <x v="18"/>
      <x v="22"/>
      <x v="170"/>
    </i>
    <i t="default">
      <x v="18"/>
    </i>
    <i>
      <x v="19"/>
      <x v="12"/>
      <x v="101"/>
    </i>
    <i r="2">
      <x v="102"/>
    </i>
    <i r="2">
      <x v="103"/>
    </i>
    <i r="2">
      <x v="104"/>
    </i>
    <i t="default">
      <x v="19"/>
    </i>
    <i>
      <x v="20"/>
      <x v="26"/>
      <x v="22"/>
    </i>
    <i r="2">
      <x v="81"/>
    </i>
    <i r="2">
      <x v="88"/>
    </i>
    <i r="2">
      <x v="106"/>
    </i>
    <i r="2">
      <x v="107"/>
    </i>
    <i r="2">
      <x v="132"/>
    </i>
    <i r="2">
      <x v="174"/>
    </i>
    <i r="2">
      <x v="206"/>
    </i>
    <i r="2">
      <x v="207"/>
    </i>
    <i r="2">
      <x v="260"/>
    </i>
    <i t="default">
      <x v="20"/>
    </i>
    <i>
      <x v="21"/>
      <x v="23"/>
      <x v="5"/>
    </i>
    <i r="2">
      <x v="12"/>
    </i>
    <i r="2">
      <x v="83"/>
    </i>
    <i r="2">
      <x v="114"/>
    </i>
    <i r="2">
      <x v="131"/>
    </i>
    <i r="2">
      <x v="144"/>
    </i>
    <i r="2">
      <x v="145"/>
    </i>
    <i r="2">
      <x v="146"/>
    </i>
    <i r="2">
      <x v="172"/>
    </i>
    <i r="2">
      <x v="173"/>
    </i>
    <i r="2">
      <x v="236"/>
    </i>
    <i t="default">
      <x v="21"/>
    </i>
    <i>
      <x v="22"/>
      <x v="25"/>
      <x v="24"/>
    </i>
    <i r="2">
      <x v="203"/>
    </i>
    <i t="default">
      <x v="22"/>
    </i>
    <i>
      <x v="23"/>
      <x v="24"/>
      <x v="63"/>
    </i>
    <i r="2">
      <x v="69"/>
    </i>
    <i t="default">
      <x v="23"/>
    </i>
    <i>
      <x v="24"/>
      <x v="4"/>
      <x v="169"/>
    </i>
    <i r="2">
      <x v="248"/>
    </i>
    <i t="default">
      <x v="24"/>
    </i>
    <i>
      <x v="25"/>
      <x v="2"/>
      <x v="51"/>
    </i>
    <i r="2">
      <x v="79"/>
    </i>
    <i r="2">
      <x v="122"/>
    </i>
    <i r="2">
      <x v="252"/>
    </i>
    <i r="2">
      <x v="253"/>
    </i>
    <i r="2">
      <x v="254"/>
    </i>
    <i r="2">
      <x v="256"/>
    </i>
    <i r="2">
      <x v="258"/>
    </i>
    <i t="default">
      <x v="25"/>
    </i>
    <i>
      <x v="26"/>
      <x v="18"/>
      <x v="1"/>
    </i>
    <i r="2">
      <x v="2"/>
    </i>
    <i r="2">
      <x v="21"/>
    </i>
    <i r="2">
      <x v="23"/>
    </i>
    <i r="2">
      <x v="33"/>
    </i>
    <i r="2">
      <x v="34"/>
    </i>
    <i r="2">
      <x v="36"/>
    </i>
    <i r="2">
      <x v="68"/>
    </i>
    <i r="2">
      <x v="75"/>
    </i>
    <i r="2">
      <x v="78"/>
    </i>
    <i r="2">
      <x v="109"/>
    </i>
    <i r="2">
      <x v="120"/>
    </i>
    <i r="2">
      <x v="133"/>
    </i>
    <i r="2">
      <x v="134"/>
    </i>
    <i r="2">
      <x v="137"/>
    </i>
    <i r="2">
      <x v="149"/>
    </i>
    <i r="2">
      <x v="154"/>
    </i>
    <i r="2">
      <x v="162"/>
    </i>
    <i r="2">
      <x v="163"/>
    </i>
    <i r="2">
      <x v="168"/>
    </i>
    <i r="2">
      <x v="171"/>
    </i>
    <i r="2">
      <x v="208"/>
    </i>
    <i r="2">
      <x v="226"/>
    </i>
    <i r="2">
      <x v="245"/>
    </i>
    <i r="2">
      <x v="246"/>
    </i>
    <i t="default">
      <x v="26"/>
    </i>
    <i>
      <x v="27"/>
      <x v="5"/>
      <x v="57"/>
    </i>
    <i r="2">
      <x v="276"/>
    </i>
    <i t="default">
      <x v="27"/>
    </i>
    <i>
      <x v="28"/>
      <x v="6"/>
      <x v="10"/>
    </i>
    <i r="2">
      <x v="60"/>
    </i>
    <i r="2">
      <x v="61"/>
    </i>
    <i r="2">
      <x v="91"/>
    </i>
    <i t="default">
      <x v="28"/>
    </i>
    <i>
      <x v="30"/>
      <x v="10"/>
      <x v="14"/>
    </i>
    <i r="2">
      <x v="15"/>
    </i>
    <i r="2">
      <x v="16"/>
    </i>
    <i r="2">
      <x v="53"/>
    </i>
    <i r="2">
      <x v="105"/>
    </i>
    <i r="2">
      <x v="108"/>
    </i>
    <i r="2">
      <x v="110"/>
    </i>
    <i t="default"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Apr.25" fld="11" baseField="0" baseItem="14" numFmtId="2"/>
    <dataField name="Mar.26" fld="22" baseField="8" baseItem="6" numFmtId="2"/>
    <dataField name="Apr.26" fld="25" baseField="0" baseItem="0" numFmtId="2"/>
  </dataFields>
  <formats count="138">
    <format dxfId="477">
      <pivotArea type="all" dataOnly="0" outline="0" fieldPosition="0"/>
    </format>
    <format dxfId="476">
      <pivotArea outline="0" collapsedLevelsAreSubtotals="1" fieldPosition="0"/>
    </format>
    <format dxfId="475">
      <pivotArea field="8" type="button" dataOnly="0" labelOnly="1" outline="0" axis="axisRow" fieldPosition="1"/>
    </format>
    <format dxfId="474">
      <pivotArea dataOnly="0" labelOnly="1" fieldPosition="0">
        <references count="1">
          <reference field="8" count="0"/>
        </references>
      </pivotArea>
    </format>
    <format dxfId="473">
      <pivotArea dataOnly="0" labelOnly="1" grandRow="1" outline="0" fieldPosition="0"/>
    </format>
    <format dxfId="472">
      <pivotArea dataOnly="0" labelOnly="1" fieldPosition="0">
        <references count="2">
          <reference field="0" count="2">
            <x v="37"/>
            <x v="155"/>
          </reference>
          <reference field="8" count="1" selected="0">
            <x v="1"/>
          </reference>
        </references>
      </pivotArea>
    </format>
    <format dxfId="471">
      <pivotArea dataOnly="0" labelOnly="1" fieldPosition="0">
        <references count="2">
          <reference field="0" count="8">
            <x v="51"/>
            <x v="79"/>
            <x v="122"/>
            <x v="252"/>
            <x v="253"/>
            <x v="254"/>
            <x v="256"/>
            <x v="258"/>
          </reference>
          <reference field="8" count="1" selected="0">
            <x v="2"/>
          </reference>
        </references>
      </pivotArea>
    </format>
    <format dxfId="470">
      <pivotArea dataOnly="0" labelOnly="1" fieldPosition="0">
        <references count="2">
          <reference field="0" count="1">
            <x v="99"/>
          </reference>
          <reference field="8" count="1" selected="0">
            <x v="3"/>
          </reference>
        </references>
      </pivotArea>
    </format>
    <format dxfId="469">
      <pivotArea dataOnly="0" labelOnly="1" fieldPosition="0">
        <references count="2">
          <reference field="0" count="2">
            <x v="169"/>
            <x v="248"/>
          </reference>
          <reference field="8" count="1" selected="0">
            <x v="4"/>
          </reference>
        </references>
      </pivotArea>
    </format>
    <format dxfId="468">
      <pivotArea dataOnly="0" labelOnly="1" fieldPosition="0">
        <references count="2">
          <reference field="0" count="1">
            <x v="57"/>
          </reference>
          <reference field="8" count="1" selected="0">
            <x v="5"/>
          </reference>
        </references>
      </pivotArea>
    </format>
    <format dxfId="467">
      <pivotArea dataOnly="0" labelOnly="1" fieldPosition="0">
        <references count="2">
          <reference field="0" count="4">
            <x v="10"/>
            <x v="60"/>
            <x v="61"/>
            <x v="91"/>
          </reference>
          <reference field="8" count="1" selected="0">
            <x v="6"/>
          </reference>
        </references>
      </pivotArea>
    </format>
    <format dxfId="466">
      <pivotArea dataOnly="0" labelOnly="1" fieldPosition="0">
        <references count="2">
          <reference field="0" count="6">
            <x v="47"/>
            <x v="48"/>
            <x v="49"/>
            <x v="92"/>
            <x v="159"/>
            <x v="230"/>
          </reference>
          <reference field="8" count="1" selected="0">
            <x v="7"/>
          </reference>
        </references>
      </pivotArea>
    </format>
    <format dxfId="465">
      <pivotArea dataOnly="0" labelOnly="1" fieldPosition="0">
        <references count="2">
          <reference field="0" count="29">
            <x v="20"/>
            <x v="65"/>
            <x v="66"/>
            <x v="74"/>
            <x v="77"/>
            <x v="82"/>
            <x v="86"/>
            <x v="87"/>
            <x v="93"/>
            <x v="95"/>
            <x v="96"/>
            <x v="97"/>
            <x v="98"/>
            <x v="130"/>
            <x v="136"/>
            <x v="148"/>
            <x v="150"/>
            <x v="164"/>
            <x v="165"/>
            <x v="209"/>
            <x v="228"/>
            <x v="229"/>
            <x v="239"/>
            <x v="240"/>
            <x v="241"/>
            <x v="243"/>
            <x v="244"/>
            <x v="249"/>
            <x v="250"/>
          </reference>
          <reference field="8" count="1" selected="0">
            <x v="8"/>
          </reference>
        </references>
      </pivotArea>
    </format>
    <format dxfId="464">
      <pivotArea dataOnly="0" labelOnly="1" fieldPosition="0">
        <references count="2">
          <reference field="0" count="18">
            <x v="6"/>
            <x v="7"/>
            <x v="13"/>
            <x v="17"/>
            <x v="25"/>
            <x v="35"/>
            <x v="80"/>
            <x v="85"/>
            <x v="117"/>
            <x v="118"/>
            <x v="119"/>
            <x v="139"/>
            <x v="140"/>
            <x v="141"/>
            <x v="142"/>
            <x v="143"/>
            <x v="242"/>
            <x v="267"/>
          </reference>
          <reference field="8" count="1" selected="0">
            <x v="9"/>
          </reference>
        </references>
      </pivotArea>
    </format>
    <format dxfId="463">
      <pivotArea dataOnly="0" labelOnly="1" fieldPosition="0">
        <references count="2">
          <reference field="0" count="6">
            <x v="14"/>
            <x v="15"/>
            <x v="16"/>
            <x v="53"/>
            <x v="105"/>
            <x v="110"/>
          </reference>
          <reference field="8" count="1" selected="0">
            <x v="10"/>
          </reference>
        </references>
      </pivotArea>
    </format>
    <format dxfId="462">
      <pivotArea dataOnly="0" labelOnly="1" fieldPosition="0">
        <references count="2">
          <reference field="0" count="5">
            <x v="90"/>
            <x v="128"/>
            <x v="129"/>
            <x v="186"/>
            <x v="264"/>
          </reference>
          <reference field="8" count="1" selected="0">
            <x v="11"/>
          </reference>
        </references>
      </pivotArea>
    </format>
    <format dxfId="461">
      <pivotArea dataOnly="0" labelOnly="1" fieldPosition="0">
        <references count="2">
          <reference field="0" count="4">
            <x v="101"/>
            <x v="102"/>
            <x v="103"/>
            <x v="104"/>
          </reference>
          <reference field="8" count="1" selected="0">
            <x v="12"/>
          </reference>
        </references>
      </pivotArea>
    </format>
    <format dxfId="460">
      <pivotArea dataOnly="0" labelOnly="1" fieldPosition="0">
        <references count="2">
          <reference field="0" count="2">
            <x v="45"/>
            <x v="166"/>
          </reference>
          <reference field="8" count="1" selected="0">
            <x v="13"/>
          </reference>
        </references>
      </pivotArea>
    </format>
    <format dxfId="459">
      <pivotArea dataOnly="0" labelOnly="1" fieldPosition="0">
        <references count="2">
          <reference field="0" count="13">
            <x v="38"/>
            <x v="40"/>
            <x v="41"/>
            <x v="42"/>
            <x v="52"/>
            <x v="54"/>
            <x v="56"/>
            <x v="89"/>
            <x v="115"/>
            <x v="116"/>
            <x v="125"/>
            <x v="156"/>
            <x v="225"/>
          </reference>
          <reference field="8" count="1" selected="0">
            <x v="14"/>
          </reference>
        </references>
      </pivotArea>
    </format>
    <format dxfId="458">
      <pivotArea dataOnly="0" labelOnly="1" fieldPosition="0">
        <references count="2">
          <reference field="0" count="1">
            <x v="124"/>
          </reference>
          <reference field="8" count="1" selected="0">
            <x v="15"/>
          </reference>
        </references>
      </pivotArea>
    </format>
    <format dxfId="457">
      <pivotArea dataOnly="0" labelOnly="1" fieldPosition="0">
        <references count="2">
          <reference field="0" count="8">
            <x v="4"/>
            <x v="31"/>
            <x v="94"/>
            <x v="135"/>
            <x v="177"/>
            <x v="238"/>
            <x v="257"/>
            <x v="262"/>
          </reference>
          <reference field="8" count="1" selected="0">
            <x v="16"/>
          </reference>
        </references>
      </pivotArea>
    </format>
    <format dxfId="456">
      <pivotArea dataOnly="0" labelOnly="1" fieldPosition="0">
        <references count="2">
          <reference field="0" count="27">
            <x v="30"/>
            <x v="50"/>
            <x v="64"/>
            <x v="152"/>
            <x v="178"/>
            <x v="179"/>
            <x v="180"/>
            <x v="181"/>
            <x v="182"/>
            <x v="183"/>
            <x v="184"/>
            <x v="185"/>
            <x v="187"/>
            <x v="188"/>
            <x v="189"/>
            <x v="190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</reference>
          <reference field="8" count="1" selected="0">
            <x v="17"/>
          </reference>
        </references>
      </pivotArea>
    </format>
    <format dxfId="455">
      <pivotArea dataOnly="0" labelOnly="1" fieldPosition="0">
        <references count="2">
          <reference field="0" count="24">
            <x v="1"/>
            <x v="2"/>
            <x v="21"/>
            <x v="23"/>
            <x v="33"/>
            <x v="34"/>
            <x v="36"/>
            <x v="68"/>
            <x v="75"/>
            <x v="78"/>
            <x v="109"/>
            <x v="120"/>
            <x v="133"/>
            <x v="134"/>
            <x v="137"/>
            <x v="149"/>
            <x v="162"/>
            <x v="163"/>
            <x v="168"/>
            <x v="171"/>
            <x v="208"/>
            <x v="226"/>
            <x v="245"/>
            <x v="246"/>
          </reference>
          <reference field="8" count="1" selected="0">
            <x v="18"/>
          </reference>
        </references>
      </pivotArea>
    </format>
    <format dxfId="454">
      <pivotArea dataOnly="0" labelOnly="1" fieldPosition="0">
        <references count="2">
          <reference field="0" count="5">
            <x v="26"/>
            <x v="45"/>
            <x v="46"/>
            <x v="166"/>
            <x v="167"/>
          </reference>
          <reference field="8" count="1" selected="0">
            <x v="19"/>
          </reference>
        </references>
      </pivotArea>
    </format>
    <format dxfId="453">
      <pivotArea dataOnly="0" labelOnly="1" fieldPosition="0">
        <references count="2">
          <reference field="0" count="11">
            <x v="11"/>
            <x v="19"/>
            <x v="39"/>
            <x v="43"/>
            <x v="44"/>
            <x v="55"/>
            <x v="123"/>
            <x v="126"/>
            <x v="151"/>
            <x v="157"/>
            <x v="191"/>
          </reference>
          <reference field="8" count="1" selected="0">
            <x v="20"/>
          </reference>
        </references>
      </pivotArea>
    </format>
    <format dxfId="452">
      <pivotArea dataOnly="0" labelOnly="1" fieldPosition="0">
        <references count="2">
          <reference field="0" count="26">
            <x v="3"/>
            <x v="32"/>
            <x v="62"/>
            <x v="67"/>
            <x v="72"/>
            <x v="76"/>
            <x v="100"/>
            <x v="111"/>
            <x v="112"/>
            <x v="113"/>
            <x v="138"/>
            <x v="147"/>
            <x v="153"/>
            <x v="158"/>
            <x v="160"/>
            <x v="161"/>
            <x v="175"/>
            <x v="176"/>
            <x v="212"/>
            <x v="227"/>
            <x v="231"/>
            <x v="233"/>
            <x v="247"/>
            <x v="251"/>
            <x v="255"/>
            <x v="259"/>
          </reference>
          <reference field="8" count="1" selected="0">
            <x v="21"/>
          </reference>
        </references>
      </pivotArea>
    </format>
    <format dxfId="451">
      <pivotArea dataOnly="0" labelOnly="1" fieldPosition="0">
        <references count="2">
          <reference field="0" count="1">
            <x v="170"/>
          </reference>
          <reference field="8" count="1" selected="0">
            <x v="22"/>
          </reference>
        </references>
      </pivotArea>
    </format>
    <format dxfId="450">
      <pivotArea dataOnly="0" labelOnly="1" fieldPosition="0">
        <references count="2">
          <reference field="0" count="11">
            <x v="5"/>
            <x v="12"/>
            <x v="83"/>
            <x v="114"/>
            <x v="131"/>
            <x v="144"/>
            <x v="145"/>
            <x v="146"/>
            <x v="172"/>
            <x v="173"/>
            <x v="236"/>
          </reference>
          <reference field="8" count="1" selected="0">
            <x v="23"/>
          </reference>
        </references>
      </pivotArea>
    </format>
    <format dxfId="449">
      <pivotArea dataOnly="0" labelOnly="1" fieldPosition="0">
        <references count="2">
          <reference field="0" count="2">
            <x v="63"/>
            <x v="69"/>
          </reference>
          <reference field="8" count="1" selected="0">
            <x v="24"/>
          </reference>
        </references>
      </pivotArea>
    </format>
    <format dxfId="448">
      <pivotArea dataOnly="0" labelOnly="1" fieldPosition="0">
        <references count="2">
          <reference field="0" count="2">
            <x v="24"/>
            <x v="203"/>
          </reference>
          <reference field="8" count="1" selected="0">
            <x v="25"/>
          </reference>
        </references>
      </pivotArea>
    </format>
    <format dxfId="447">
      <pivotArea dataOnly="0" labelOnly="1" fieldPosition="0">
        <references count="2">
          <reference field="0" count="8">
            <x v="22"/>
            <x v="81"/>
            <x v="106"/>
            <x v="107"/>
            <x v="132"/>
            <x v="174"/>
            <x v="206"/>
            <x v="207"/>
          </reference>
          <reference field="8" count="1" selected="0">
            <x v="26"/>
          </reference>
        </references>
      </pivotArea>
    </format>
    <format dxfId="446">
      <pivotArea dataOnly="0" labelOnly="1" fieldPosition="0">
        <references count="2">
          <reference field="0" count="5">
            <x v="18"/>
            <x v="73"/>
            <x v="121"/>
            <x v="210"/>
            <x v="211"/>
          </reference>
          <reference field="8" count="1" selected="0">
            <x v="27"/>
          </reference>
        </references>
      </pivotArea>
    </format>
    <format dxfId="445">
      <pivotArea dataOnly="0" labelOnly="1" fieldPosition="0">
        <references count="2">
          <reference field="0" count="22">
            <x v="8"/>
            <x v="9"/>
            <x v="27"/>
            <x v="28"/>
            <x v="29"/>
            <x v="204"/>
            <x v="205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32"/>
            <x v="237"/>
            <x v="261"/>
          </reference>
          <reference field="8" count="1" selected="0">
            <x v="28"/>
          </reference>
        </references>
      </pivotArea>
    </format>
    <format dxfId="444">
      <pivotArea dataOnly="0" labelOnly="1" fieldPosition="0">
        <references count="2">
          <reference field="0" count="1">
            <x v="234"/>
          </reference>
          <reference field="8" count="1" selected="0">
            <x v="29"/>
          </reference>
        </references>
      </pivotArea>
    </format>
    <format dxfId="443">
      <pivotArea dataOnly="0" labelOnly="1" fieldPosition="0">
        <references count="2">
          <reference field="0" count="2">
            <x v="58"/>
            <x v="59"/>
          </reference>
          <reference field="8" count="1" selected="0">
            <x v="30"/>
          </reference>
        </references>
      </pivotArea>
    </format>
    <format dxfId="442">
      <pivotArea dataOnly="0" labelOnly="1" fieldPosition="0">
        <references count="2">
          <reference field="0" count="5">
            <x v="70"/>
            <x v="71"/>
            <x v="84"/>
            <x v="265"/>
            <x v="266"/>
          </reference>
          <reference field="8" count="1" selected="0">
            <x v="31"/>
          </reference>
        </references>
      </pivotArea>
    </format>
    <format dxfId="441">
      <pivotArea dataOnly="0" labelOnly="1" fieldPosition="0">
        <references count="2">
          <reference field="0" count="14">
            <x v="24"/>
            <x v="60"/>
            <x v="88"/>
            <x v="108"/>
            <x v="110"/>
            <x v="113"/>
            <x v="122"/>
            <x v="127"/>
            <x v="154"/>
            <x v="192"/>
            <x v="198"/>
            <x v="235"/>
            <x v="260"/>
            <x v="263"/>
          </reference>
          <reference field="8" count="1" selected="0">
            <x v="32"/>
          </reference>
        </references>
      </pivotArea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field="8" type="button" dataOnly="0" labelOnly="1" outline="0" axis="axisRow" fieldPosition="1"/>
    </format>
    <format dxfId="437">
      <pivotArea dataOnly="0" labelOnly="1" fieldPosition="0">
        <references count="1">
          <reference field="8" count="0"/>
        </references>
      </pivotArea>
    </format>
    <format dxfId="436">
      <pivotArea dataOnly="0" labelOnly="1" grandRow="1" outline="0" fieldPosition="0"/>
    </format>
    <format dxfId="435">
      <pivotArea dataOnly="0" labelOnly="1" fieldPosition="0">
        <references count="2">
          <reference field="0" count="2">
            <x v="37"/>
            <x v="155"/>
          </reference>
          <reference field="8" count="1" selected="0">
            <x v="1"/>
          </reference>
        </references>
      </pivotArea>
    </format>
    <format dxfId="434">
      <pivotArea dataOnly="0" labelOnly="1" fieldPosition="0">
        <references count="2">
          <reference field="0" count="8">
            <x v="51"/>
            <x v="79"/>
            <x v="122"/>
            <x v="252"/>
            <x v="253"/>
            <x v="254"/>
            <x v="256"/>
            <x v="258"/>
          </reference>
          <reference field="8" count="1" selected="0">
            <x v="2"/>
          </reference>
        </references>
      </pivotArea>
    </format>
    <format dxfId="433">
      <pivotArea dataOnly="0" labelOnly="1" fieldPosition="0">
        <references count="2">
          <reference field="0" count="1">
            <x v="99"/>
          </reference>
          <reference field="8" count="1" selected="0">
            <x v="3"/>
          </reference>
        </references>
      </pivotArea>
    </format>
    <format dxfId="432">
      <pivotArea dataOnly="0" labelOnly="1" fieldPosition="0">
        <references count="2">
          <reference field="0" count="2">
            <x v="169"/>
            <x v="248"/>
          </reference>
          <reference field="8" count="1" selected="0">
            <x v="4"/>
          </reference>
        </references>
      </pivotArea>
    </format>
    <format dxfId="431">
      <pivotArea dataOnly="0" labelOnly="1" fieldPosition="0">
        <references count="2">
          <reference field="0" count="1">
            <x v="57"/>
          </reference>
          <reference field="8" count="1" selected="0">
            <x v="5"/>
          </reference>
        </references>
      </pivotArea>
    </format>
    <format dxfId="430">
      <pivotArea dataOnly="0" labelOnly="1" fieldPosition="0">
        <references count="2">
          <reference field="0" count="4">
            <x v="10"/>
            <x v="60"/>
            <x v="61"/>
            <x v="91"/>
          </reference>
          <reference field="8" count="1" selected="0">
            <x v="6"/>
          </reference>
        </references>
      </pivotArea>
    </format>
    <format dxfId="429">
      <pivotArea dataOnly="0" labelOnly="1" fieldPosition="0">
        <references count="2">
          <reference field="0" count="6">
            <x v="47"/>
            <x v="48"/>
            <x v="49"/>
            <x v="92"/>
            <x v="159"/>
            <x v="230"/>
          </reference>
          <reference field="8" count="1" selected="0">
            <x v="7"/>
          </reference>
        </references>
      </pivotArea>
    </format>
    <format dxfId="428">
      <pivotArea dataOnly="0" labelOnly="1" fieldPosition="0">
        <references count="2">
          <reference field="0" count="29">
            <x v="20"/>
            <x v="65"/>
            <x v="66"/>
            <x v="74"/>
            <x v="77"/>
            <x v="82"/>
            <x v="86"/>
            <x v="87"/>
            <x v="93"/>
            <x v="95"/>
            <x v="96"/>
            <x v="97"/>
            <x v="98"/>
            <x v="130"/>
            <x v="136"/>
            <x v="148"/>
            <x v="150"/>
            <x v="164"/>
            <x v="165"/>
            <x v="209"/>
            <x v="228"/>
            <x v="229"/>
            <x v="239"/>
            <x v="240"/>
            <x v="241"/>
            <x v="243"/>
            <x v="244"/>
            <x v="249"/>
            <x v="250"/>
          </reference>
          <reference field="8" count="1" selected="0">
            <x v="8"/>
          </reference>
        </references>
      </pivotArea>
    </format>
    <format dxfId="427">
      <pivotArea dataOnly="0" labelOnly="1" fieldPosition="0">
        <references count="2">
          <reference field="0" count="18">
            <x v="6"/>
            <x v="7"/>
            <x v="13"/>
            <x v="17"/>
            <x v="25"/>
            <x v="35"/>
            <x v="80"/>
            <x v="85"/>
            <x v="117"/>
            <x v="118"/>
            <x v="119"/>
            <x v="139"/>
            <x v="140"/>
            <x v="141"/>
            <x v="142"/>
            <x v="143"/>
            <x v="242"/>
            <x v="267"/>
          </reference>
          <reference field="8" count="1" selected="0">
            <x v="9"/>
          </reference>
        </references>
      </pivotArea>
    </format>
    <format dxfId="426">
      <pivotArea dataOnly="0" labelOnly="1" fieldPosition="0">
        <references count="2">
          <reference field="0" count="6">
            <x v="14"/>
            <x v="15"/>
            <x v="16"/>
            <x v="53"/>
            <x v="105"/>
            <x v="110"/>
          </reference>
          <reference field="8" count="1" selected="0">
            <x v="10"/>
          </reference>
        </references>
      </pivotArea>
    </format>
    <format dxfId="425">
      <pivotArea dataOnly="0" labelOnly="1" fieldPosition="0">
        <references count="2">
          <reference field="0" count="5">
            <x v="90"/>
            <x v="128"/>
            <x v="129"/>
            <x v="186"/>
            <x v="264"/>
          </reference>
          <reference field="8" count="1" selected="0">
            <x v="11"/>
          </reference>
        </references>
      </pivotArea>
    </format>
    <format dxfId="424">
      <pivotArea dataOnly="0" labelOnly="1" fieldPosition="0">
        <references count="2">
          <reference field="0" count="4">
            <x v="101"/>
            <x v="102"/>
            <x v="103"/>
            <x v="104"/>
          </reference>
          <reference field="8" count="1" selected="0">
            <x v="12"/>
          </reference>
        </references>
      </pivotArea>
    </format>
    <format dxfId="423">
      <pivotArea dataOnly="0" labelOnly="1" fieldPosition="0">
        <references count="2">
          <reference field="0" count="2">
            <x v="45"/>
            <x v="166"/>
          </reference>
          <reference field="8" count="1" selected="0">
            <x v="13"/>
          </reference>
        </references>
      </pivotArea>
    </format>
    <format dxfId="422">
      <pivotArea dataOnly="0" labelOnly="1" fieldPosition="0">
        <references count="2">
          <reference field="0" count="13">
            <x v="38"/>
            <x v="40"/>
            <x v="41"/>
            <x v="42"/>
            <x v="52"/>
            <x v="54"/>
            <x v="56"/>
            <x v="89"/>
            <x v="115"/>
            <x v="116"/>
            <x v="125"/>
            <x v="156"/>
            <x v="225"/>
          </reference>
          <reference field="8" count="1" selected="0">
            <x v="14"/>
          </reference>
        </references>
      </pivotArea>
    </format>
    <format dxfId="421">
      <pivotArea dataOnly="0" labelOnly="1" fieldPosition="0">
        <references count="2">
          <reference field="0" count="1">
            <x v="124"/>
          </reference>
          <reference field="8" count="1" selected="0">
            <x v="15"/>
          </reference>
        </references>
      </pivotArea>
    </format>
    <format dxfId="420">
      <pivotArea dataOnly="0" labelOnly="1" fieldPosition="0">
        <references count="2">
          <reference field="0" count="8">
            <x v="4"/>
            <x v="31"/>
            <x v="94"/>
            <x v="135"/>
            <x v="177"/>
            <x v="238"/>
            <x v="257"/>
            <x v="262"/>
          </reference>
          <reference field="8" count="1" selected="0">
            <x v="16"/>
          </reference>
        </references>
      </pivotArea>
    </format>
    <format dxfId="419">
      <pivotArea dataOnly="0" labelOnly="1" fieldPosition="0">
        <references count="2">
          <reference field="0" count="27">
            <x v="30"/>
            <x v="50"/>
            <x v="64"/>
            <x v="152"/>
            <x v="178"/>
            <x v="179"/>
            <x v="180"/>
            <x v="181"/>
            <x v="182"/>
            <x v="183"/>
            <x v="184"/>
            <x v="185"/>
            <x v="187"/>
            <x v="188"/>
            <x v="189"/>
            <x v="190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</reference>
          <reference field="8" count="1" selected="0">
            <x v="17"/>
          </reference>
        </references>
      </pivotArea>
    </format>
    <format dxfId="418">
      <pivotArea dataOnly="0" labelOnly="1" fieldPosition="0">
        <references count="2">
          <reference field="0" count="24">
            <x v="1"/>
            <x v="2"/>
            <x v="21"/>
            <x v="23"/>
            <x v="33"/>
            <x v="34"/>
            <x v="36"/>
            <x v="68"/>
            <x v="75"/>
            <x v="78"/>
            <x v="109"/>
            <x v="120"/>
            <x v="133"/>
            <x v="134"/>
            <x v="137"/>
            <x v="149"/>
            <x v="162"/>
            <x v="163"/>
            <x v="168"/>
            <x v="171"/>
            <x v="208"/>
            <x v="226"/>
            <x v="245"/>
            <x v="246"/>
          </reference>
          <reference field="8" count="1" selected="0">
            <x v="18"/>
          </reference>
        </references>
      </pivotArea>
    </format>
    <format dxfId="417">
      <pivotArea dataOnly="0" labelOnly="1" fieldPosition="0">
        <references count="2">
          <reference field="0" count="5">
            <x v="26"/>
            <x v="45"/>
            <x v="46"/>
            <x v="166"/>
            <x v="167"/>
          </reference>
          <reference field="8" count="1" selected="0">
            <x v="19"/>
          </reference>
        </references>
      </pivotArea>
    </format>
    <format dxfId="416">
      <pivotArea dataOnly="0" labelOnly="1" fieldPosition="0">
        <references count="2">
          <reference field="0" count="11">
            <x v="11"/>
            <x v="19"/>
            <x v="39"/>
            <x v="43"/>
            <x v="44"/>
            <x v="55"/>
            <x v="123"/>
            <x v="126"/>
            <x v="151"/>
            <x v="157"/>
            <x v="191"/>
          </reference>
          <reference field="8" count="1" selected="0">
            <x v="20"/>
          </reference>
        </references>
      </pivotArea>
    </format>
    <format dxfId="415">
      <pivotArea dataOnly="0" labelOnly="1" fieldPosition="0">
        <references count="2">
          <reference field="0" count="26">
            <x v="3"/>
            <x v="32"/>
            <x v="62"/>
            <x v="67"/>
            <x v="72"/>
            <x v="76"/>
            <x v="100"/>
            <x v="111"/>
            <x v="112"/>
            <x v="113"/>
            <x v="138"/>
            <x v="147"/>
            <x v="153"/>
            <x v="158"/>
            <x v="160"/>
            <x v="161"/>
            <x v="175"/>
            <x v="176"/>
            <x v="212"/>
            <x v="227"/>
            <x v="231"/>
            <x v="233"/>
            <x v="247"/>
            <x v="251"/>
            <x v="255"/>
            <x v="259"/>
          </reference>
          <reference field="8" count="1" selected="0">
            <x v="21"/>
          </reference>
        </references>
      </pivotArea>
    </format>
    <format dxfId="414">
      <pivotArea dataOnly="0" labelOnly="1" fieldPosition="0">
        <references count="2">
          <reference field="0" count="1">
            <x v="170"/>
          </reference>
          <reference field="8" count="1" selected="0">
            <x v="22"/>
          </reference>
        </references>
      </pivotArea>
    </format>
    <format dxfId="413">
      <pivotArea dataOnly="0" labelOnly="1" fieldPosition="0">
        <references count="2">
          <reference field="0" count="11">
            <x v="5"/>
            <x v="12"/>
            <x v="83"/>
            <x v="114"/>
            <x v="131"/>
            <x v="144"/>
            <x v="145"/>
            <x v="146"/>
            <x v="172"/>
            <x v="173"/>
            <x v="236"/>
          </reference>
          <reference field="8" count="1" selected="0">
            <x v="23"/>
          </reference>
        </references>
      </pivotArea>
    </format>
    <format dxfId="412">
      <pivotArea dataOnly="0" labelOnly="1" fieldPosition="0">
        <references count="2">
          <reference field="0" count="2">
            <x v="63"/>
            <x v="69"/>
          </reference>
          <reference field="8" count="1" selected="0">
            <x v="24"/>
          </reference>
        </references>
      </pivotArea>
    </format>
    <format dxfId="411">
      <pivotArea dataOnly="0" labelOnly="1" fieldPosition="0">
        <references count="2">
          <reference field="0" count="2">
            <x v="24"/>
            <x v="203"/>
          </reference>
          <reference field="8" count="1" selected="0">
            <x v="25"/>
          </reference>
        </references>
      </pivotArea>
    </format>
    <format dxfId="410">
      <pivotArea dataOnly="0" labelOnly="1" fieldPosition="0">
        <references count="2">
          <reference field="0" count="8">
            <x v="22"/>
            <x v="81"/>
            <x v="106"/>
            <x v="107"/>
            <x v="132"/>
            <x v="174"/>
            <x v="206"/>
            <x v="207"/>
          </reference>
          <reference field="8" count="1" selected="0">
            <x v="26"/>
          </reference>
        </references>
      </pivotArea>
    </format>
    <format dxfId="409">
      <pivotArea dataOnly="0" labelOnly="1" fieldPosition="0">
        <references count="2">
          <reference field="0" count="5">
            <x v="18"/>
            <x v="73"/>
            <x v="121"/>
            <x v="210"/>
            <x v="211"/>
          </reference>
          <reference field="8" count="1" selected="0">
            <x v="27"/>
          </reference>
        </references>
      </pivotArea>
    </format>
    <format dxfId="408">
      <pivotArea dataOnly="0" labelOnly="1" fieldPosition="0">
        <references count="2">
          <reference field="0" count="22">
            <x v="8"/>
            <x v="9"/>
            <x v="27"/>
            <x v="28"/>
            <x v="29"/>
            <x v="204"/>
            <x v="205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32"/>
            <x v="237"/>
            <x v="261"/>
          </reference>
          <reference field="8" count="1" selected="0">
            <x v="28"/>
          </reference>
        </references>
      </pivotArea>
    </format>
    <format dxfId="407">
      <pivotArea dataOnly="0" labelOnly="1" fieldPosition="0">
        <references count="2">
          <reference field="0" count="1">
            <x v="234"/>
          </reference>
          <reference field="8" count="1" selected="0">
            <x v="29"/>
          </reference>
        </references>
      </pivotArea>
    </format>
    <format dxfId="406">
      <pivotArea dataOnly="0" labelOnly="1" fieldPosition="0">
        <references count="2">
          <reference field="0" count="2">
            <x v="58"/>
            <x v="59"/>
          </reference>
          <reference field="8" count="1" selected="0">
            <x v="30"/>
          </reference>
        </references>
      </pivotArea>
    </format>
    <format dxfId="405">
      <pivotArea dataOnly="0" labelOnly="1" fieldPosition="0">
        <references count="2">
          <reference field="0" count="5">
            <x v="70"/>
            <x v="71"/>
            <x v="84"/>
            <x v="265"/>
            <x v="266"/>
          </reference>
          <reference field="8" count="1" selected="0">
            <x v="31"/>
          </reference>
        </references>
      </pivotArea>
    </format>
    <format dxfId="404">
      <pivotArea dataOnly="0" labelOnly="1" fieldPosition="0">
        <references count="2">
          <reference field="0" count="14">
            <x v="24"/>
            <x v="60"/>
            <x v="88"/>
            <x v="108"/>
            <x v="110"/>
            <x v="113"/>
            <x v="122"/>
            <x v="127"/>
            <x v="154"/>
            <x v="192"/>
            <x v="198"/>
            <x v="235"/>
            <x v="260"/>
            <x v="263"/>
          </reference>
          <reference field="8" count="1" selected="0">
            <x v="32"/>
          </reference>
        </references>
      </pivotArea>
    </format>
    <format dxfId="403">
      <pivotArea outline="0" fieldPosition="0">
        <references count="1">
          <reference field="4294967294" count="1">
            <x v="0"/>
          </reference>
        </references>
      </pivotArea>
    </format>
    <format dxfId="402">
      <pivotArea outline="0" fieldPosition="0">
        <references count="1">
          <reference field="4294967294" count="1">
            <x v="1"/>
          </reference>
        </references>
      </pivotArea>
    </format>
    <format dxfId="401">
      <pivotArea field="10" type="button" dataOnly="0" labelOnly="1" outline="0" axis="axisRow" fieldPosition="0"/>
    </format>
    <format dxfId="400">
      <pivotArea dataOnly="0" labelOnly="1" outline="0" fieldPosition="0">
        <references count="1">
          <reference field="10" count="1">
            <x v="0"/>
          </reference>
        </references>
      </pivotArea>
    </format>
    <format dxfId="399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98">
      <pivotArea dataOnly="0" labelOnly="1" outline="0" fieldPosition="0">
        <references count="1">
          <reference field="10" count="1">
            <x v="1"/>
          </reference>
        </references>
      </pivotArea>
    </format>
    <format dxfId="397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96">
      <pivotArea dataOnly="0" labelOnly="1" outline="0" fieldPosition="0">
        <references count="1">
          <reference field="10" count="1">
            <x v="2"/>
          </reference>
        </references>
      </pivotArea>
    </format>
    <format dxfId="395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394">
      <pivotArea dataOnly="0" labelOnly="1" outline="0" fieldPosition="0">
        <references count="1">
          <reference field="10" count="1">
            <x v="3"/>
          </reference>
        </references>
      </pivotArea>
    </format>
    <format dxfId="393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92">
      <pivotArea dataOnly="0" labelOnly="1" outline="0" fieldPosition="0">
        <references count="1">
          <reference field="10" count="1">
            <x v="4"/>
          </reference>
        </references>
      </pivotArea>
    </format>
    <format dxfId="391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390">
      <pivotArea dataOnly="0" labelOnly="1" outline="0" fieldPosition="0">
        <references count="1">
          <reference field="10" count="1">
            <x v="5"/>
          </reference>
        </references>
      </pivotArea>
    </format>
    <format dxfId="389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388">
      <pivotArea dataOnly="0" labelOnly="1" outline="0" fieldPosition="0">
        <references count="1">
          <reference field="10" count="1">
            <x v="6"/>
          </reference>
        </references>
      </pivotArea>
    </format>
    <format dxfId="387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386">
      <pivotArea dataOnly="0" labelOnly="1" outline="0" fieldPosition="0">
        <references count="1">
          <reference field="10" count="1">
            <x v="7"/>
          </reference>
        </references>
      </pivotArea>
    </format>
    <format dxfId="385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384">
      <pivotArea dataOnly="0" labelOnly="1" outline="0" fieldPosition="0">
        <references count="1">
          <reference field="10" count="1">
            <x v="8"/>
          </reference>
        </references>
      </pivotArea>
    </format>
    <format dxfId="383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382">
      <pivotArea dataOnly="0" labelOnly="1" outline="0" fieldPosition="0">
        <references count="1">
          <reference field="10" count="1">
            <x v="9"/>
          </reference>
        </references>
      </pivotArea>
    </format>
    <format dxfId="381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80">
      <pivotArea dataOnly="0" labelOnly="1" outline="0" fieldPosition="0">
        <references count="1">
          <reference field="10" count="1">
            <x v="10"/>
          </reference>
        </references>
      </pivotArea>
    </format>
    <format dxfId="379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378">
      <pivotArea dataOnly="0" labelOnly="1" outline="0" fieldPosition="0">
        <references count="1">
          <reference field="10" count="1">
            <x v="11"/>
          </reference>
        </references>
      </pivotArea>
    </format>
    <format dxfId="377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376">
      <pivotArea dataOnly="0" labelOnly="1" outline="0" fieldPosition="0">
        <references count="1">
          <reference field="10" count="1">
            <x v="12"/>
          </reference>
        </references>
      </pivotArea>
    </format>
    <format dxfId="375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374">
      <pivotArea dataOnly="0" labelOnly="1" outline="0" fieldPosition="0">
        <references count="1">
          <reference field="10" count="1">
            <x v="13"/>
          </reference>
        </references>
      </pivotArea>
    </format>
    <format dxfId="373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372">
      <pivotArea dataOnly="0" labelOnly="1" outline="0" fieldPosition="0">
        <references count="1">
          <reference field="10" count="1">
            <x v="14"/>
          </reference>
        </references>
      </pivotArea>
    </format>
    <format dxfId="371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370">
      <pivotArea dataOnly="0" labelOnly="1" outline="0" fieldPosition="0">
        <references count="1">
          <reference field="10" count="1">
            <x v="15"/>
          </reference>
        </references>
      </pivotArea>
    </format>
    <format dxfId="369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68">
      <pivotArea dataOnly="0" labelOnly="1" outline="0" fieldPosition="0">
        <references count="1">
          <reference field="10" count="1">
            <x v="16"/>
          </reference>
        </references>
      </pivotArea>
    </format>
    <format dxfId="367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366">
      <pivotArea dataOnly="0" labelOnly="1" outline="0" fieldPosition="0">
        <references count="1">
          <reference field="10" count="1">
            <x v="17"/>
          </reference>
        </references>
      </pivotArea>
    </format>
    <format dxfId="365">
      <pivotArea dataOnly="0" labelOnly="1" outline="0" fieldPosition="0">
        <references count="1">
          <reference field="10" count="1" defaultSubtotal="1">
            <x v="17"/>
          </reference>
        </references>
      </pivotArea>
    </format>
    <format dxfId="364">
      <pivotArea dataOnly="0" labelOnly="1" outline="0" fieldPosition="0">
        <references count="1">
          <reference field="10" count="1">
            <x v="18"/>
          </reference>
        </references>
      </pivotArea>
    </format>
    <format dxfId="363">
      <pivotArea dataOnly="0" labelOnly="1" outline="0" fieldPosition="0">
        <references count="1">
          <reference field="10" count="1" defaultSubtotal="1">
            <x v="18"/>
          </reference>
        </references>
      </pivotArea>
    </format>
    <format dxfId="362">
      <pivotArea dataOnly="0" labelOnly="1" outline="0" fieldPosition="0">
        <references count="1">
          <reference field="10" count="1">
            <x v="19"/>
          </reference>
        </references>
      </pivotArea>
    </format>
    <format dxfId="361">
      <pivotArea dataOnly="0" labelOnly="1" outline="0" fieldPosition="0">
        <references count="1">
          <reference field="10" count="1" defaultSubtotal="1">
            <x v="19"/>
          </reference>
        </references>
      </pivotArea>
    </format>
    <format dxfId="360">
      <pivotArea dataOnly="0" labelOnly="1" outline="0" fieldPosition="0">
        <references count="1">
          <reference field="10" count="1">
            <x v="20"/>
          </reference>
        </references>
      </pivotArea>
    </format>
    <format dxfId="359">
      <pivotArea dataOnly="0" labelOnly="1" outline="0" fieldPosition="0">
        <references count="1">
          <reference field="10" count="1" defaultSubtotal="1">
            <x v="20"/>
          </reference>
        </references>
      </pivotArea>
    </format>
    <format dxfId="358">
      <pivotArea dataOnly="0" labelOnly="1" outline="0" fieldPosition="0">
        <references count="1">
          <reference field="10" count="1">
            <x v="21"/>
          </reference>
        </references>
      </pivotArea>
    </format>
    <format dxfId="357">
      <pivotArea dataOnly="0" labelOnly="1" outline="0" fieldPosition="0">
        <references count="1">
          <reference field="10" count="1" defaultSubtotal="1">
            <x v="21"/>
          </reference>
        </references>
      </pivotArea>
    </format>
    <format dxfId="356">
      <pivotArea dataOnly="0" labelOnly="1" outline="0" fieldPosition="0">
        <references count="1">
          <reference field="10" count="1">
            <x v="22"/>
          </reference>
        </references>
      </pivotArea>
    </format>
    <format dxfId="355">
      <pivotArea dataOnly="0" labelOnly="1" outline="0" fieldPosition="0">
        <references count="1">
          <reference field="10" count="1" defaultSubtotal="1">
            <x v="22"/>
          </reference>
        </references>
      </pivotArea>
    </format>
    <format dxfId="354">
      <pivotArea dataOnly="0" labelOnly="1" outline="0" fieldPosition="0">
        <references count="1">
          <reference field="10" count="1">
            <x v="23"/>
          </reference>
        </references>
      </pivotArea>
    </format>
    <format dxfId="353">
      <pivotArea dataOnly="0" labelOnly="1" outline="0" fieldPosition="0">
        <references count="1">
          <reference field="10" count="1" defaultSubtotal="1">
            <x v="23"/>
          </reference>
        </references>
      </pivotArea>
    </format>
    <format dxfId="352">
      <pivotArea dataOnly="0" labelOnly="1" outline="0" fieldPosition="0">
        <references count="1">
          <reference field="10" count="1">
            <x v="24"/>
          </reference>
        </references>
      </pivotArea>
    </format>
    <format dxfId="351">
      <pivotArea dataOnly="0" labelOnly="1" outline="0" fieldPosition="0">
        <references count="1">
          <reference field="10" count="1" defaultSubtotal="1">
            <x v="24"/>
          </reference>
        </references>
      </pivotArea>
    </format>
    <format dxfId="350">
      <pivotArea dataOnly="0" labelOnly="1" outline="0" fieldPosition="0">
        <references count="1">
          <reference field="10" count="1">
            <x v="25"/>
          </reference>
        </references>
      </pivotArea>
    </format>
    <format dxfId="349">
      <pivotArea dataOnly="0" labelOnly="1" outline="0" fieldPosition="0">
        <references count="1">
          <reference field="10" count="1" defaultSubtotal="1">
            <x v="25"/>
          </reference>
        </references>
      </pivotArea>
    </format>
    <format dxfId="348">
      <pivotArea dataOnly="0" labelOnly="1" outline="0" fieldPosition="0">
        <references count="1">
          <reference field="10" count="1">
            <x v="26"/>
          </reference>
        </references>
      </pivotArea>
    </format>
    <format dxfId="347">
      <pivotArea dataOnly="0" labelOnly="1" outline="0" fieldPosition="0">
        <references count="1">
          <reference field="10" count="1" defaultSubtotal="1">
            <x v="26"/>
          </reference>
        </references>
      </pivotArea>
    </format>
    <format dxfId="346">
      <pivotArea dataOnly="0" labelOnly="1" outline="0" fieldPosition="0">
        <references count="1">
          <reference field="10" count="1">
            <x v="27"/>
          </reference>
        </references>
      </pivotArea>
    </format>
    <format dxfId="345">
      <pivotArea dataOnly="0" labelOnly="1" outline="0" fieldPosition="0">
        <references count="1">
          <reference field="10" count="1" defaultSubtotal="1">
            <x v="27"/>
          </reference>
        </references>
      </pivotArea>
    </format>
    <format dxfId="344">
      <pivotArea dataOnly="0" labelOnly="1" outline="0" fieldPosition="0">
        <references count="1">
          <reference field="10" count="1">
            <x v="28"/>
          </reference>
        </references>
      </pivotArea>
    </format>
    <format dxfId="343">
      <pivotArea dataOnly="0" labelOnly="1" outline="0" fieldPosition="0">
        <references count="1">
          <reference field="10" count="1" defaultSubtotal="1">
            <x v="28"/>
          </reference>
        </references>
      </pivotArea>
    </format>
    <format dxfId="342">
      <pivotArea dataOnly="0" labelOnly="1" grandRow="1" outline="0" fieldPosition="0"/>
    </format>
    <format dxfId="341">
      <pivotArea dataOnly="0" labelOnly="1" outline="0" fieldPosition="0">
        <references count="1">
          <reference field="10" count="0"/>
        </references>
      </pivotArea>
    </format>
    <format dxfId="340">
      <pivotArea outline="0" fieldPosition="0">
        <references count="1">
          <reference field="4294967294" count="1">
            <x v="2"/>
          </reference>
        </references>
      </pivotArea>
    </format>
  </formats>
  <pivotTableStyleInfo name="Notes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10F61-C26B-40E4-AC29-BEC66AA1D9EB}" name="TB_Kochi" displayName="TB_Kochi" ref="B2:AC211" totalsRowCount="1" headerRowDxfId="339" dataDxfId="337" totalsRowDxfId="335" headerRowBorderDxfId="338" tableBorderDxfId="336" totalsRowBorderDxfId="334" dataCellStyle="Comma">
  <sortState xmlns:xlrd2="http://schemas.microsoft.com/office/spreadsheetml/2017/richdata2" ref="B3:X164">
    <sortCondition descending="1" ref="D2:D164"/>
  </sortState>
  <tableColumns count="28">
    <tableColumn id="1" xr3:uid="{C1BE3F35-2C3E-45B6-9884-811EDFA6CF5D}" name="Description" dataDxfId="333" totalsRowDxfId="332"/>
    <tableColumn id="2" xr3:uid="{AFC9E1E1-A85C-4949-BB62-74B78F13F6CA}" name="FS" dataDxfId="331" totalsRowDxfId="330"/>
    <tableColumn id="3" xr3:uid="{5B375B2D-C4EF-4DFE-A0A4-5F50E3D3A5AE}" name="FS2" dataDxfId="329" totalsRowDxfId="328"/>
    <tableColumn id="4" xr3:uid="{088FB54E-810D-492C-B5BA-B9A8D50FB83D}" name="Group_1" dataDxfId="327" totalsRowDxfId="326"/>
    <tableColumn id="5" xr3:uid="{12DFE5A6-1B95-489D-AEDB-9D21947CDA29}" name="Group_2" dataDxfId="325" totalsRowDxfId="324"/>
    <tableColumn id="18" xr3:uid="{C1BCC9E8-09C7-4FA5-ADAC-38216BA3B50A}" name="Group_3" dataDxfId="323" totalsRowDxfId="322"/>
    <tableColumn id="19" xr3:uid="{C4FC3344-1570-423F-AA39-C3475ED44830}" name="Group_4" dataDxfId="321" totalsRowDxfId="320"/>
    <tableColumn id="7" xr3:uid="{3B588FE0-5548-49B8-A1B2-568871070D4D}" name="Unit" dataDxfId="319" totalsRowDxfId="318"/>
    <tableColumn id="9" xr3:uid="{F6352EE7-28C5-43DA-BE53-D382F1642BF2}" name="MIS_Group1" dataDxfId="317" totalsRowDxfId="316"/>
    <tableColumn id="12" xr3:uid="{91FF503B-9A4C-48E9-9CE1-0F1A56CD7581}" name="MIS_Group2" dataDxfId="315" totalsRowDxfId="314"/>
    <tableColumn id="25" xr3:uid="{31EFDAAE-6C98-4B85-913E-95E865A8C27D}" name="Notes" dataDxfId="313" totalsRowDxfId="312">
      <calculatedColumnFormula>_xlfn.XLOOKUP(TB_Kochi[[#This Row],[MIS_Group1]],PL_Consol!B:B,PL_Consol!C:C)</calculatedColumnFormula>
    </tableColumn>
    <tableColumn id="8" xr3:uid="{518D2181-D5B8-4DE2-9A9F-C54C18F6F6EB}" name="Apr" totalsRowFunction="sum" dataDxfId="311" totalsRowDxfId="310" dataCellStyle="Comma"/>
    <tableColumn id="6" xr3:uid="{91DC8944-71E3-427D-9935-328F955937D8}" name="May" totalsRowFunction="sum" dataDxfId="309" totalsRowDxfId="308" dataCellStyle="Comma"/>
    <tableColumn id="10" xr3:uid="{4BDB63EF-AC62-43A1-9DB7-565E03009526}" name="Jun" totalsRowFunction="sum" dataDxfId="307" totalsRowDxfId="306" dataCellStyle="Comma"/>
    <tableColumn id="11" xr3:uid="{15147746-ABB5-4C6D-ABB5-B24A2B4088E2}" name="Jul" totalsRowFunction="sum" dataDxfId="305" totalsRowDxfId="304" dataCellStyle="Comma"/>
    <tableColumn id="13" xr3:uid="{EB569A00-99ED-4B55-9163-DF40D0732D13}" name="Aug" totalsRowFunction="sum" dataDxfId="303" totalsRowDxfId="302" dataCellStyle="Comma"/>
    <tableColumn id="14" xr3:uid="{64CFAAF0-2FD1-4157-8809-64681A5CED8F}" name="Sep" totalsRowFunction="sum" dataDxfId="301" totalsRowDxfId="300" dataCellStyle="Comma"/>
    <tableColumn id="15" xr3:uid="{3F168DD2-0F13-42E6-84EA-FA02F0F61AD2}" name="Oct" totalsRowFunction="sum" dataDxfId="299" totalsRowDxfId="298" dataCellStyle="Comma"/>
    <tableColumn id="16" xr3:uid="{3FB5FD57-D160-4ACA-A1CA-30A84763FAFC}" name="Nov" totalsRowFunction="sum" dataDxfId="297" totalsRowDxfId="296" dataCellStyle="Comma"/>
    <tableColumn id="17" xr3:uid="{75D8DAE5-8D85-4663-80EE-60D3DEF31701}" name="Dec" totalsRowFunction="sum" dataDxfId="295" totalsRowDxfId="294" dataCellStyle="Comma"/>
    <tableColumn id="20" xr3:uid="{CCE32C79-4E18-47E0-83DC-453E98B1A360}" name="Jan" totalsRowFunction="sum" dataDxfId="293" totalsRowDxfId="292" dataCellStyle="Comma"/>
    <tableColumn id="21" xr3:uid="{27F76C53-C3AC-4348-BF40-25EA524F5580}" name="Feb" totalsRowFunction="sum" dataDxfId="291" totalsRowDxfId="290" dataCellStyle="Comma"/>
    <tableColumn id="22" xr3:uid="{4CF8F831-B0CD-4C62-A3E8-2A04BC7A2B39}" name="Mar" totalsRowFunction="sum" dataDxfId="289" totalsRowDxfId="288" dataCellStyle="Comma"/>
    <tableColumn id="24" xr3:uid="{82DD4929-673B-4221-9CF3-81B746073F7E}" name="YTD" totalsRowFunction="sum" dataDxfId="287" totalsRowDxfId="286" dataCellStyle="Comma">
      <calculatedColumnFormula>SUM(TB_Kochi[[#This Row],[Apr]:[Mar]])</calculatedColumnFormula>
    </tableColumn>
    <tableColumn id="26" xr3:uid="{6BF57DB3-7C4C-40E3-80D1-B9CA22665F7F}" name="YTD TB" dataDxfId="285" totalsRowDxfId="284" dataCellStyle="Comma"/>
    <tableColumn id="27" xr3:uid="{1DA8387F-E5A6-4E99-B469-48C5593BC2D2}" name="Apr_26" totalsRowFunction="sum" dataDxfId="283" totalsRowDxfId="282" dataCellStyle="Comma"/>
    <tableColumn id="28" xr3:uid="{32E31CFD-7C3D-499C-A90F-7021E204F9EC}" name="May-26" totalsRowFunction="sum" dataDxfId="281" totalsRowDxfId="280" dataCellStyle="Comma">
      <calculatedColumnFormula>IFERROR(_xlfn.XLOOKUP(TB_Kochi[[#This Row],[Description]],[5]trialbalancePDS.rpt!$J$1:$J$65536,[5]trialbalancePDS.rpt!$I$1:$I$65536,0),0)</calculatedColumnFormula>
    </tableColumn>
    <tableColumn id="23" xr3:uid="{723FC3FB-7CCB-4EA2-82CF-3E0BBED9DDB2}" name="Remarks" dataDxfId="279" totalsRowDxfId="278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91743-4E23-4DB7-9CA9-5E9457017C7F}" name="TB_Calicut" displayName="TB_Calicut" ref="B2:AC70" totalsRowCount="1" headerRowDxfId="277" dataDxfId="275" totalsRowDxfId="273" headerRowBorderDxfId="276" tableBorderDxfId="274" totalsRowBorderDxfId="272" dataCellStyle="Comma">
  <tableColumns count="28">
    <tableColumn id="1" xr3:uid="{D087D750-BA65-4EE1-BE96-B700C5D93C16}" name="Description" dataDxfId="271" totalsRowDxfId="270"/>
    <tableColumn id="2" xr3:uid="{B9C1FF5C-809D-4D94-829D-8F52F5092106}" name="FS" dataDxfId="269" totalsRowDxfId="268"/>
    <tableColumn id="3" xr3:uid="{C06543AA-649B-4C00-9214-5A358EAAEB12}" name="FS2" dataDxfId="267" totalsRowDxfId="266"/>
    <tableColumn id="4" xr3:uid="{93294D1B-56F5-4886-99C2-AD7DE9F7DD5C}" name="Group_1" dataDxfId="265" totalsRowDxfId="264"/>
    <tableColumn id="5" xr3:uid="{88BECB2F-1AF4-4D7B-A144-043D572CCC4E}" name="Group_2" dataDxfId="263" totalsRowDxfId="262"/>
    <tableColumn id="18" xr3:uid="{87C881AE-3FE5-4510-9E8F-70AC594D86EE}" name="Group_3" dataDxfId="261" totalsRowDxfId="260"/>
    <tableColumn id="19" xr3:uid="{2FEB72BA-0693-49C9-95EB-21C19777753F}" name="Group_4" dataDxfId="259" totalsRowDxfId="258"/>
    <tableColumn id="24" xr3:uid="{0A42A1F5-E8CA-492E-AD10-E227FD21662B}" name="Unit" dataDxfId="257" totalsRowDxfId="256"/>
    <tableColumn id="12" xr3:uid="{51E9FB41-69E3-43AF-9295-AD76E964E3F9}" name="MIS_Group1" dataDxfId="255" totalsRowDxfId="254"/>
    <tableColumn id="9" xr3:uid="{4B403778-3835-4CB8-BC90-70E842FD8840}" name="MIS_Group2" dataDxfId="253" totalsRowDxfId="252"/>
    <tableColumn id="25" xr3:uid="{9630295D-4775-4702-A586-65E111F853FF}" name="Notes" dataDxfId="251" totalsRowDxfId="250">
      <calculatedColumnFormula>_xlfn.XLOOKUP(TB_Calicut[[#This Row],[MIS_Group1]],PL_Consol!B:B,PL_Consol!C:C)</calculatedColumnFormula>
    </tableColumn>
    <tableColumn id="8" xr3:uid="{3C8F6609-2474-47FA-900E-D89672E90A25}" name="Apr" totalsRowFunction="sum" dataDxfId="249" totalsRowDxfId="248" dataCellStyle="Comma"/>
    <tableColumn id="6" xr3:uid="{92E3F7A8-60B2-4CED-8D98-47BC9D470FD3}" name="May" totalsRowFunction="sum" dataDxfId="247" totalsRowDxfId="246" dataCellStyle="Comma"/>
    <tableColumn id="10" xr3:uid="{75D77046-EFC1-4E6E-8D03-E22B80A3EBA9}" name="Jun" totalsRowFunction="sum" dataDxfId="245" totalsRowDxfId="244" dataCellStyle="Comma"/>
    <tableColumn id="11" xr3:uid="{DE497BCE-9591-49AB-B27B-02ECE716BF61}" name="Jul" totalsRowFunction="sum" dataDxfId="243" totalsRowDxfId="242" dataCellStyle="Comma"/>
    <tableColumn id="13" xr3:uid="{8A684C75-9A75-41AC-9B18-3F85F773DF39}" name="Aug" totalsRowFunction="sum" dataDxfId="241" totalsRowDxfId="240" dataCellStyle="Comma"/>
    <tableColumn id="14" xr3:uid="{65FDE2E3-89B5-4ADF-AE9B-47E8D8CE0D7A}" name="Sep" totalsRowFunction="sum" dataDxfId="239" totalsRowDxfId="238" dataCellStyle="Comma"/>
    <tableColumn id="15" xr3:uid="{22138DF6-F7E6-491C-B4FA-4D2616664007}" name="Oct" totalsRowFunction="sum" dataDxfId="237" totalsRowDxfId="236" dataCellStyle="Comma"/>
    <tableColumn id="16" xr3:uid="{3E194AB5-7F0C-420F-8CA9-8B73664C5169}" name="Nov" totalsRowFunction="sum" dataDxfId="235" totalsRowDxfId="234" dataCellStyle="Comma"/>
    <tableColumn id="17" xr3:uid="{76F69891-5B0C-4EAC-B77A-68F1C387F0D1}" name="Dec" totalsRowFunction="sum" dataDxfId="233" totalsRowDxfId="232" dataCellStyle="Comma"/>
    <tableColumn id="20" xr3:uid="{2BB3639A-0D60-434A-8976-CDBB0F47E6B1}" name="Jan" totalsRowFunction="sum" dataDxfId="231" totalsRowDxfId="230" dataCellStyle="Comma"/>
    <tableColumn id="21" xr3:uid="{3B374956-1B17-4A80-9ECF-9563B0C5F978}" name="Feb" totalsRowFunction="sum" dataDxfId="229" totalsRowDxfId="228" dataCellStyle="Comma"/>
    <tableColumn id="22" xr3:uid="{4CC0A813-CD2E-46F3-8496-7706702D460F}" name="Mar" totalsRowFunction="sum" dataDxfId="227" totalsRowDxfId="226" dataCellStyle="Comma"/>
    <tableColumn id="23" xr3:uid="{710AA805-3C04-4532-AC9D-227F43AAABF5}" name="YTD" totalsRowFunction="sum" dataDxfId="225" totalsRowDxfId="224" dataCellStyle="Comma">
      <calculatedColumnFormula>SUM(TB_Calicut[[#This Row],[Apr]:[Mar]])</calculatedColumnFormula>
    </tableColumn>
    <tableColumn id="26" xr3:uid="{3D160221-2155-43B0-A42C-C000DB1529CB}" name="YTD TB" totalsRowFunction="sum" dataDxfId="223" totalsRowDxfId="222" dataCellStyle="Comma"/>
    <tableColumn id="27" xr3:uid="{9E6EE69B-4FA5-4674-98C8-FE7CD17D9F44}" name="Apr_26" totalsRowFunction="sum" dataDxfId="221" totalsRowDxfId="220" dataCellStyle="Comma"/>
    <tableColumn id="28" xr3:uid="{9BF093B8-D3D5-42D5-A0A0-3A59E37DDEAB}" name="May-26" totalsRowFunction="sum" dataDxfId="219" totalsRowDxfId="218">
      <calculatedColumnFormula>IFERROR(_xlfn.XLOOKUP(TB_Calicut[[#This Row],[Description]],[3]trialbalancePDS.rpt!$J$1:$J$65536,[3]trialbalancePDS.rpt!$I$1:$I$65536,0),0)</calculatedColumnFormula>
    </tableColumn>
    <tableColumn id="7" xr3:uid="{D25CE84F-2EDE-4627-93EE-073F42C1B7E3}" name="Remarks" dataDxfId="217" totalsRowDxfId="216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AD072-E2A9-4B04-9DB4-EB0A3FDA2F10}" name="TB_FNB" displayName="TB_FNB" ref="B2:AB74" totalsRowCount="1" headerRowDxfId="215" dataDxfId="213" totalsRowDxfId="211" headerRowBorderDxfId="214" tableBorderDxfId="212" totalsRowBorderDxfId="210" dataCellStyle="Comma">
  <tableColumns count="27">
    <tableColumn id="1" xr3:uid="{8ECCE158-F4A0-4388-9F46-6E9E273168B3}" name="Description" totalsRowLabel="&gt;&gt;&gt;&gt;&gt;" dataDxfId="209" totalsRowDxfId="208"/>
    <tableColumn id="2" xr3:uid="{0E72E65F-E96B-4FA7-8EA0-AFBF2B6F0FA0}" name="FS" totalsRowLabel="&gt;&gt;" dataDxfId="207" totalsRowDxfId="206"/>
    <tableColumn id="3" xr3:uid="{889DE5C8-90C6-415A-B069-E31BCD36A53B}" name="FS2" totalsRowLabel="&gt;&gt;" dataDxfId="205" totalsRowDxfId="204"/>
    <tableColumn id="4" xr3:uid="{53855EFD-1B47-4AAC-9D48-0F27DF343D3A}" name="Group_1" totalsRowLabel="&gt;&gt;&gt;&gt;&gt;" dataDxfId="203" totalsRowDxfId="202"/>
    <tableColumn id="5" xr3:uid="{621AE896-D142-4D73-B056-9F31B44C2A69}" name="Group_2" totalsRowLabel="&gt;&gt;&gt;&gt;" dataDxfId="201" totalsRowDxfId="200"/>
    <tableColumn id="18" xr3:uid="{B1741D1F-32E5-4EC4-A2F1-0B645EB404DA}" name="Group_3" totalsRowLabel="&gt;&gt;&gt;" dataDxfId="199" totalsRowDxfId="198"/>
    <tableColumn id="19" xr3:uid="{DA631A2A-20ED-45B4-B6C1-84E3CCEBB1D0}" name="Group_4" totalsRowLabel="&gt;&gt;&gt;&gt;" dataDxfId="197" totalsRowDxfId="196"/>
    <tableColumn id="24" xr3:uid="{1BC2986F-E9C1-40DE-B31D-9F9D44CDB97D}" name="Unit" dataDxfId="195" totalsRowDxfId="194"/>
    <tableColumn id="12" xr3:uid="{CFA57ABC-3FA1-4E09-8724-95AAA4AEAD86}" name="MIS_Group1" totalsRowLabel="&gt;&gt;&gt;&gt;&gt;&gt;" dataDxfId="193" totalsRowDxfId="192"/>
    <tableColumn id="9" xr3:uid="{0B3A6AE1-01CD-4BDD-8427-D6880734C32A}" name="MIS_Group2" totalsRowLabel="&gt;&gt;&gt;&gt;" dataDxfId="191" totalsRowDxfId="190"/>
    <tableColumn id="25" xr3:uid="{0842FAE1-2813-46B9-9400-B23A776A4A25}" name="Notes" dataDxfId="189" totalsRowDxfId="188">
      <calculatedColumnFormula>_xlfn.XLOOKUP(TB_FNB[[#This Row],[MIS_Group1]],PL_Consol!B:B,PL_Consol!C:C)</calculatedColumnFormula>
    </tableColumn>
    <tableColumn id="8" xr3:uid="{98AEA400-035F-4E87-BF35-1471B448F420}" name="Apr" totalsRowFunction="sum" dataDxfId="187" totalsRowDxfId="186" dataCellStyle="Comma"/>
    <tableColumn id="6" xr3:uid="{2151C3A3-0048-44FD-B1DB-A89EFD98FD17}" name="May" totalsRowFunction="sum" dataDxfId="185" totalsRowDxfId="184" dataCellStyle="Comma"/>
    <tableColumn id="10" xr3:uid="{A33ADE7E-E718-434F-8237-84BDBBFC1161}" name="Jun" totalsRowFunction="sum" dataDxfId="183" totalsRowDxfId="182" dataCellStyle="Comma"/>
    <tableColumn id="11" xr3:uid="{967B2DA9-FEEF-414F-8DE3-86C3C8CDC158}" name="Jul" totalsRowFunction="sum" dataDxfId="181" totalsRowDxfId="180" dataCellStyle="Comma"/>
    <tableColumn id="13" xr3:uid="{7156F6CC-1D2A-4186-90FB-65CBFCFE3D8B}" name="Aug" totalsRowFunction="sum" dataDxfId="179" totalsRowDxfId="178" dataCellStyle="Comma"/>
    <tableColumn id="14" xr3:uid="{E5B744E7-25A5-4743-A89F-EE2E0B55C73B}" name="Sep" totalsRowFunction="sum" dataDxfId="177" totalsRowDxfId="176" dataCellStyle="Comma"/>
    <tableColumn id="15" xr3:uid="{9E60854E-1E1A-4041-BE7E-440D647FD209}" name="Oct" totalsRowFunction="sum" dataDxfId="175" totalsRowDxfId="174" dataCellStyle="Comma"/>
    <tableColumn id="16" xr3:uid="{07D370A1-598D-4814-B4A9-1720BF2A8E31}" name="Nov" totalsRowFunction="sum" dataDxfId="173" totalsRowDxfId="172" dataCellStyle="Comma"/>
    <tableColumn id="17" xr3:uid="{BD90DAE9-919B-4F79-80A6-A566AD25F0F3}" name="Dec" totalsRowFunction="sum" dataDxfId="171" totalsRowDxfId="170" dataCellStyle="Comma"/>
    <tableColumn id="20" xr3:uid="{86844CBC-FE53-497E-814B-36431FEA0D01}" name="Jan" totalsRowFunction="sum" dataDxfId="169" totalsRowDxfId="168" dataCellStyle="Comma"/>
    <tableColumn id="21" xr3:uid="{194D2C12-2D30-465F-9A74-15065E9329D0}" name="Feb" totalsRowFunction="sum" dataDxfId="167" totalsRowDxfId="166" dataCellStyle="Comma"/>
    <tableColumn id="22" xr3:uid="{3C75C9FD-949C-4A3C-BDF2-189FB2DC328B}" name="Mar" totalsRowFunction="sum" dataDxfId="165" totalsRowDxfId="164" dataCellStyle="Comma"/>
    <tableColumn id="23" xr3:uid="{0966E578-A050-4632-A0AE-2D6FF609FA61}" name="YTD" totalsRowFunction="sum" dataDxfId="163" totalsRowDxfId="162" dataCellStyle="Comma">
      <calculatedColumnFormula>SUM(TB_FNB[[#This Row],[Apr]:[Mar]])</calculatedColumnFormula>
    </tableColumn>
    <tableColumn id="7" xr3:uid="{502BE85A-FB18-432A-A500-B2632ED12402}" name="Apr_26" totalsRowFunction="sum" dataDxfId="161" totalsRowDxfId="160" dataCellStyle="Comma"/>
    <tableColumn id="27" xr3:uid="{5C9E1DB6-6220-438C-905E-C1BF5C7DCC6F}" name="May-26" totalsRowFunction="sum" dataDxfId="159" totalsRowDxfId="158">
      <calculatedColumnFormula>_xlfn.XLOOKUP(TB_FNB[[#This Row],[Description]],[4]TBScheduleWise.rpt!$G$1:$G$65536,[4]TBScheduleWise.rpt!$F$1:$F$65536,0)</calculatedColumnFormula>
    </tableColumn>
    <tableColumn id="26" xr3:uid="{7001E297-353D-41D0-AA5F-8DB94D584A20}" name="Remarks" dataDxfId="157" totalsRowDxfId="156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FS@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FS@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FS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CB34-1432-431B-AF38-109495B392D4}">
  <sheetPr>
    <tabColor rgb="FFF20E8B"/>
  </sheetPr>
  <dimension ref="A1:Z94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B7" sqref="AB7"/>
    </sheetView>
  </sheetViews>
  <sheetFormatPr defaultColWidth="9.08984375" defaultRowHeight="14.5" x14ac:dyDescent="0.35"/>
  <cols>
    <col min="1" max="1" width="2.36328125" style="28" customWidth="1"/>
    <col min="2" max="2" width="30.54296875" style="12" customWidth="1"/>
    <col min="3" max="3" width="4" style="12" bestFit="1" customWidth="1"/>
    <col min="4" max="4" width="8" style="12" bestFit="1" customWidth="1"/>
    <col min="5" max="5" width="8" style="12" customWidth="1"/>
    <col min="6" max="15" width="8" style="12" hidden="1" customWidth="1"/>
    <col min="16" max="18" width="9" style="12" hidden="1" customWidth="1"/>
    <col min="19" max="21" width="9.08984375" style="12"/>
    <col min="22" max="22" width="8.453125" style="12" customWidth="1"/>
    <col min="23" max="23" width="8.81640625" style="12" customWidth="1"/>
    <col min="24" max="24" width="9.1796875" style="12" customWidth="1"/>
    <col min="25" max="16384" width="9.08984375" style="12"/>
  </cols>
  <sheetData>
    <row r="1" spans="2:26" ht="23.5" x14ac:dyDescent="0.55000000000000004">
      <c r="B1" s="63" t="s">
        <v>467</v>
      </c>
      <c r="C1" s="63"/>
      <c r="D1" s="29"/>
      <c r="E1" s="29"/>
      <c r="F1" s="29"/>
      <c r="G1" s="29"/>
      <c r="H1" s="29"/>
      <c r="I1" s="29"/>
      <c r="J1"/>
      <c r="K1"/>
    </row>
    <row r="2" spans="2:26" ht="15" thickBot="1" x14ac:dyDescent="0.4">
      <c r="B2" s="177" t="s">
        <v>632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31"/>
      <c r="X2" s="31"/>
    </row>
    <row r="3" spans="2:26" ht="8.25" customHeight="1" x14ac:dyDescent="0.35"/>
    <row r="4" spans="2:26" ht="16.75" customHeight="1" x14ac:dyDescent="0.35">
      <c r="D4" s="132" t="s">
        <v>636</v>
      </c>
      <c r="E4" s="132" t="s">
        <v>636</v>
      </c>
      <c r="F4" s="132"/>
      <c r="G4" s="132"/>
      <c r="H4" s="132"/>
      <c r="I4" s="132"/>
      <c r="J4" s="132"/>
      <c r="K4" s="132"/>
      <c r="L4" s="132"/>
      <c r="M4" s="132"/>
      <c r="N4" s="132"/>
      <c r="O4" s="132" t="s">
        <v>634</v>
      </c>
      <c r="P4" s="132"/>
      <c r="Q4" s="132"/>
      <c r="R4" s="132"/>
      <c r="S4" s="132" t="s">
        <v>634</v>
      </c>
      <c r="T4" s="132" t="s">
        <v>635</v>
      </c>
      <c r="U4" s="132" t="s">
        <v>627</v>
      </c>
      <c r="V4" s="174" t="s">
        <v>628</v>
      </c>
      <c r="W4" s="175"/>
      <c r="X4" s="176"/>
    </row>
    <row r="5" spans="2:26" x14ac:dyDescent="0.35">
      <c r="B5" s="33" t="s">
        <v>466</v>
      </c>
      <c r="C5" s="33" t="s">
        <v>609</v>
      </c>
      <c r="D5" s="132">
        <v>45748</v>
      </c>
      <c r="E5" s="132">
        <v>45778</v>
      </c>
      <c r="F5" s="132">
        <v>45809</v>
      </c>
      <c r="G5" s="132">
        <v>45839</v>
      </c>
      <c r="H5" s="132">
        <v>45870</v>
      </c>
      <c r="I5" s="132">
        <v>45901</v>
      </c>
      <c r="J5" s="132">
        <v>45931</v>
      </c>
      <c r="K5" s="132">
        <v>45962</v>
      </c>
      <c r="L5" s="132">
        <v>45992</v>
      </c>
      <c r="M5" s="132">
        <v>46023</v>
      </c>
      <c r="N5" s="132">
        <v>46054</v>
      </c>
      <c r="O5" s="132">
        <v>46082</v>
      </c>
      <c r="P5" s="34" t="s">
        <v>219</v>
      </c>
      <c r="Q5" s="34" t="s">
        <v>613</v>
      </c>
      <c r="R5" s="34" t="s">
        <v>614</v>
      </c>
      <c r="S5" s="132">
        <v>46113</v>
      </c>
      <c r="T5" s="132">
        <v>46143</v>
      </c>
      <c r="U5" s="132">
        <v>46143</v>
      </c>
      <c r="V5" s="132" t="s">
        <v>629</v>
      </c>
      <c r="W5" s="132" t="s">
        <v>630</v>
      </c>
      <c r="X5" s="132" t="s">
        <v>631</v>
      </c>
    </row>
    <row r="6" spans="2:26" x14ac:dyDescent="0.35">
      <c r="B6" s="125" t="s">
        <v>220</v>
      </c>
      <c r="C6" s="8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33"/>
    </row>
    <row r="7" spans="2:26" x14ac:dyDescent="0.35">
      <c r="B7" s="126" t="s">
        <v>203</v>
      </c>
      <c r="C7" s="67">
        <v>1</v>
      </c>
      <c r="D7" s="118">
        <f>SUMIFS(PL_Kochi!C:C,PL_Kochi!$B:$B,PL_Consol!$B7)+SUMIFS(PL_Calicut!C:C,PL_Calicut!$B:$B,PL_Consol!$B7)+SUMIFS(PL_FNB!C:C,PL_FNB!$B:$B,PL_Consol!$B7)</f>
        <v>1288.4786107794193</v>
      </c>
      <c r="E7" s="118">
        <f>SUMIFS(PL_Kochi!D:D,PL_Kochi!$B:$B,PL_Consol!$B7)+SUMIFS(PL_Calicut!D:D,PL_Calicut!$B:$B,PL_Consol!$B7)+SUMIFS(PL_FNB!D:D,PL_FNB!$B:$B,PL_Consol!$B7)</f>
        <v>1389.4860340740352</v>
      </c>
      <c r="F7" s="118">
        <f>SUMIFS(PL_Kochi!E:E,PL_Kochi!$B:$B,PL_Consol!$B7)+SUMIFS(PL_Calicut!E:E,PL_Calicut!$B:$B,PL_Consol!$B7)+SUMIFS(PL_FNB!E:E,PL_FNB!$B:$B,PL_Consol!$B7)</f>
        <v>1243.0957460131738</v>
      </c>
      <c r="G7" s="118">
        <f>SUMIFS(PL_Kochi!F:F,PL_Kochi!$B:$B,PL_Consol!$B7)+SUMIFS(PL_Calicut!F:F,PL_Calicut!$B:$B,PL_Consol!$B7)+SUMIFS(PL_FNB!F:F,PL_FNB!$B:$B,PL_Consol!$B7)</f>
        <v>1443.6384298593266</v>
      </c>
      <c r="H7" s="118">
        <f>SUMIFS(PL_Kochi!G:G,PL_Kochi!$B:$B,PL_Consol!$B7)+SUMIFS(PL_Calicut!G:G,PL_Calicut!$B:$B,PL_Consol!$B7)+SUMIFS(PL_FNB!G:G,PL_FNB!$B:$B,PL_Consol!$B7)</f>
        <v>1583.9547832409214</v>
      </c>
      <c r="I7" s="118">
        <f>SUMIFS(PL_Kochi!H:H,PL_Kochi!$B:$B,PL_Consol!$B7)+SUMIFS(PL_Calicut!H:H,PL_Calicut!$B:$B,PL_Consol!$B7)+SUMIFS(PL_FNB!H:H,PL_FNB!$B:$B,PL_Consol!$B7)</f>
        <v>1505.3154133240985</v>
      </c>
      <c r="J7" s="118">
        <f>SUMIFS(PL_Kochi!I:I,PL_Kochi!$B:$B,PL_Consol!$B7)+SUMIFS(PL_Calicut!I:I,PL_Calicut!$B:$B,PL_Consol!$B7)+SUMIFS(PL_FNB!I:I,PL_FNB!$B:$B,PL_Consol!$B7)</f>
        <v>1554.3692875455172</v>
      </c>
      <c r="K7" s="118">
        <f>SUMIFS(PL_Kochi!J:J,PL_Kochi!$B:$B,PL_Consol!$B7)+SUMIFS(PL_Calicut!J:J,PL_Calicut!$B:$B,PL_Consol!$B7)+SUMIFS(PL_FNB!J:J,PL_FNB!$B:$B,PL_Consol!$B7)</f>
        <v>1402.5104168420996</v>
      </c>
      <c r="L7" s="118">
        <f>SUMIFS(PL_Kochi!K:K,PL_Kochi!$B:$B,PL_Consol!$B7)+SUMIFS(PL_Calicut!K:K,PL_Calicut!$B:$B,PL_Consol!$B7)+SUMIFS(PL_FNB!K:K,PL_FNB!$B:$B,PL_Consol!$B7)</f>
        <v>1476.7940118364031</v>
      </c>
      <c r="M7" s="118">
        <f>SUMIFS(PL_Kochi!L:L,PL_Kochi!$B:$B,PL_Consol!$B7)+SUMIFS(PL_Calicut!L:L,PL_Calicut!$B:$B,PL_Consol!$B7)+SUMIFS(PL_FNB!L:L,PL_FNB!$B:$B,PL_Consol!$B7)</f>
        <v>1717.5679997496325</v>
      </c>
      <c r="N7" s="122">
        <f>SUMIFS(PL_Kochi!M:M,PL_Kochi!$B:$B,PL_Consol!$B7)+SUMIFS(PL_Calicut!M:M,PL_Calicut!$B:$B,PL_Consol!$B7)+SUMIFS(PL_FNB!M:M,PL_FNB!$B:$B,PL_Consol!$B7)</f>
        <v>1569.5149917588053</v>
      </c>
      <c r="O7" s="122">
        <f>SUMIFS(PL_Kochi!N:N,PL_Kochi!$B:$B,PL_Consol!$B7)+SUMIFS(PL_Calicut!N:N,PL_Calicut!$B:$B,PL_Consol!$B7)+SUMIFS(PL_FNB!N:N,PL_FNB!$B:$B,PL_Consol!$B7)</f>
        <v>1386.8843450248812</v>
      </c>
      <c r="P7" s="122">
        <f t="shared" ref="P7:P12" si="0">SUM(D7:O7)</f>
        <v>17561.610070048315</v>
      </c>
      <c r="Q7" s="122">
        <v>20170.359798316931</v>
      </c>
      <c r="R7" s="122">
        <v>16277.819864208192</v>
      </c>
      <c r="S7" s="122">
        <f>SUMIFS(PL_Kochi!R:R,PL_Kochi!$B:$B,PL_Consol!$B7)+SUMIFS(PL_Calicut!R:R,PL_Calicut!$B:$B,PL_Consol!$B7)+SUMIFS(PL_FNB!R:R,PL_FNB!$B:$B,PL_Consol!$B7)</f>
        <v>1722.7908641202646</v>
      </c>
      <c r="T7" s="122">
        <f>SUMIFS(PL_Kochi!$S:$S,PL_Kochi!$B:$B,PL_Consol!B7)+SUMIFS(PL_Calicut!$S:$S,PL_Calicut!$B:$B,PL_Consol!B7)+SUMIFS(PL_FNB!$S:$S,PL_FNB!$B:$B,PL_Consol!B7)</f>
        <v>1795.5767523000002</v>
      </c>
      <c r="U7" s="122">
        <f>2959.7-1469.5</f>
        <v>1490.1999999999998</v>
      </c>
      <c r="V7" s="157">
        <f>IFERROR(T7/E7-1,"-")</f>
        <v>0.29225966167885042</v>
      </c>
      <c r="W7" s="157">
        <f>IFERROR(T7/S7-1,"-")</f>
        <v>4.2248824100250548E-2</v>
      </c>
      <c r="X7" s="158">
        <f>IFERROR(T7/U7,"-")</f>
        <v>1.204923333982016</v>
      </c>
    </row>
    <row r="8" spans="2:26" x14ac:dyDescent="0.35">
      <c r="B8" s="126" t="s">
        <v>200</v>
      </c>
      <c r="C8" s="67">
        <v>2</v>
      </c>
      <c r="D8" s="118">
        <f>SUMIFS(PL_Kochi!C:C,PL_Kochi!$B:$B,PL_Consol!$B8)+SUMIFS(PL_Calicut!C:C,PL_Calicut!$B:$B,PL_Consol!$B8)+SUMIFS(PL_FNB!C:C,PL_FNB!$B:$B,PL_Consol!$B8)</f>
        <v>962.09911348345065</v>
      </c>
      <c r="E8" s="118">
        <f>SUMIFS(PL_Kochi!D:D,PL_Kochi!$B:$B,PL_Consol!$B8)+SUMIFS(PL_Calicut!D:D,PL_Calicut!$B:$B,PL_Consol!$B8)+SUMIFS(PL_FNB!D:D,PL_FNB!$B:$B,PL_Consol!$B8)</f>
        <v>1132.1552121007662</v>
      </c>
      <c r="F8" s="118">
        <f>SUMIFS(PL_Kochi!E:E,PL_Kochi!$B:$B,PL_Consol!$B8)+SUMIFS(PL_Calicut!E:E,PL_Calicut!$B:$B,PL_Consol!$B8)+SUMIFS(PL_FNB!E:E,PL_FNB!$B:$B,PL_Consol!$B8)</f>
        <v>1020.1167875560603</v>
      </c>
      <c r="G8" s="118">
        <f>SUMIFS(PL_Kochi!F:F,PL_Kochi!$B:$B,PL_Consol!$B8)+SUMIFS(PL_Calicut!F:F,PL_Calicut!$B:$B,PL_Consol!$B8)+SUMIFS(PL_FNB!F:F,PL_FNB!$B:$B,PL_Consol!$B8)</f>
        <v>1210.9125992502625</v>
      </c>
      <c r="H8" s="118">
        <f>SUMIFS(PL_Kochi!G:G,PL_Kochi!$B:$B,PL_Consol!$B8)+SUMIFS(PL_Calicut!G:G,PL_Calicut!$B:$B,PL_Consol!$B8)+SUMIFS(PL_FNB!G:G,PL_FNB!$B:$B,PL_Consol!$B8)</f>
        <v>1170.6094857843393</v>
      </c>
      <c r="I8" s="118">
        <f>SUMIFS(PL_Kochi!H:H,PL_Kochi!$B:$B,PL_Consol!$B8)+SUMIFS(PL_Calicut!H:H,PL_Calicut!$B:$B,PL_Consol!$B8)+SUMIFS(PL_FNB!H:H,PL_FNB!$B:$B,PL_Consol!$B8)</f>
        <v>1233.0387244795261</v>
      </c>
      <c r="J8" s="118">
        <f>SUMIFS(PL_Kochi!I:I,PL_Kochi!$B:$B,PL_Consol!$B8)+SUMIFS(PL_Calicut!I:I,PL_Calicut!$B:$B,PL_Consol!$B8)+SUMIFS(PL_FNB!I:I,PL_FNB!$B:$B,PL_Consol!$B8)</f>
        <v>1161.846575176791</v>
      </c>
      <c r="K8" s="118">
        <f>SUMIFS(PL_Kochi!J:J,PL_Kochi!$B:$B,PL_Consol!$B8)+SUMIFS(PL_Calicut!J:J,PL_Calicut!$B:$B,PL_Consol!$B8)+SUMIFS(PL_FNB!J:J,PL_FNB!$B:$B,PL_Consol!$B8)</f>
        <v>1016.3118271171672</v>
      </c>
      <c r="L8" s="118">
        <f>SUMIFS(PL_Kochi!K:K,PL_Kochi!$B:$B,PL_Consol!$B8)+SUMIFS(PL_Calicut!K:K,PL_Calicut!$B:$B,PL_Consol!$B8)+SUMIFS(PL_FNB!K:K,PL_FNB!$B:$B,PL_Consol!$B8)</f>
        <v>1099.8919543099116</v>
      </c>
      <c r="M8" s="118">
        <f>SUMIFS(PL_Kochi!L:L,PL_Kochi!$B:$B,PL_Consol!$B8)+SUMIFS(PL_Calicut!L:L,PL_Calicut!$B:$B,PL_Consol!$B8)+SUMIFS(PL_FNB!L:L,PL_FNB!$B:$B,PL_Consol!$B8)</f>
        <v>1265.8426009044172</v>
      </c>
      <c r="N8" s="118">
        <f>SUMIFS(PL_Kochi!M:M,PL_Kochi!$B:$B,PL_Consol!$B8)+SUMIFS(PL_Calicut!M:M,PL_Calicut!$B:$B,PL_Consol!$B8)+SUMIFS(PL_FNB!M:M,PL_FNB!$B:$B,PL_Consol!$B8)</f>
        <v>1140.9098668211434</v>
      </c>
      <c r="O8" s="118">
        <f>SUMIFS(PL_Kochi!N:N,PL_Kochi!$B:$B,PL_Consol!$B8)+SUMIFS(PL_Calicut!N:N,PL_Calicut!$B:$B,PL_Consol!$B8)+SUMIFS(PL_FNB!N:N,PL_FNB!$B:$B,PL_Consol!$B8)</f>
        <v>1187.707197345547</v>
      </c>
      <c r="P8" s="118">
        <f t="shared" si="0"/>
        <v>13601.441944329383</v>
      </c>
      <c r="Q8" s="118">
        <v>15621.358601683065</v>
      </c>
      <c r="R8" s="118">
        <v>12607.148537244166</v>
      </c>
      <c r="S8" s="118">
        <f>SUMIFS(PL_Kochi!R:R,PL_Kochi!$B:$B,PL_Consol!$B8)+SUMIFS(PL_Calicut!R:R,PL_Calicut!$B:$B,PL_Consol!$B8)+SUMIFS(PL_FNB!R:R,PL_FNB!$B:$B,PL_Consol!$B8)</f>
        <v>1369.1501330343913</v>
      </c>
      <c r="T8" s="122">
        <f>SUMIFS(PL_Kochi!$S:$S,PL_Kochi!$B:$B,PL_Consol!B8)+SUMIFS(PL_Calicut!$S:$S,PL_Calicut!$B:$B,PL_Consol!B8)+SUMIFS(PL_FNB!$S:$S,PL_FNB!$B:$B,PL_Consol!B8)</f>
        <v>1421.0770839000002</v>
      </c>
      <c r="U8" s="122">
        <v>1469.5433547600969</v>
      </c>
      <c r="V8" s="157">
        <f t="shared" ref="V8:V37" si="1">IFERROR(T8/E8-1,"-")</f>
        <v>0.25519634473362185</v>
      </c>
      <c r="W8" s="157">
        <f t="shared" ref="W8:W36" si="2">IFERROR(T8/S8-1,"-")</f>
        <v>3.7926411145668304E-2</v>
      </c>
      <c r="X8" s="158">
        <f t="shared" ref="X8:X12" si="3">IFERROR(T8/U8,"-")</f>
        <v>0.96701950255288049</v>
      </c>
      <c r="Z8" s="39"/>
    </row>
    <row r="9" spans="2:26" x14ac:dyDescent="0.35">
      <c r="B9" s="126" t="s">
        <v>202</v>
      </c>
      <c r="C9" s="67">
        <v>3</v>
      </c>
      <c r="D9" s="118">
        <f>SUMIFS(PL_Kochi!C:C,PL_Kochi!$B:$B,PL_Consol!$B9)+SUMIFS(PL_Calicut!C:C,PL_Calicut!$B:$B,PL_Consol!$B9)+SUMIFS(PL_FNB!C:C,PL_FNB!$B:$B,PL_Consol!$B9)</f>
        <v>637.60032099927366</v>
      </c>
      <c r="E9" s="118">
        <f>SUMIFS(PL_Kochi!D:D,PL_Kochi!$B:$B,PL_Consol!$B9)+SUMIFS(PL_Calicut!D:D,PL_Calicut!$B:$B,PL_Consol!$B9)+SUMIFS(PL_FNB!D:D,PL_FNB!$B:$B,PL_Consol!$B9)</f>
        <v>663.57897159438687</v>
      </c>
      <c r="F9" s="118">
        <f>SUMIFS(PL_Kochi!E:E,PL_Kochi!$B:$B,PL_Consol!$B9)+SUMIFS(PL_Calicut!E:E,PL_Calicut!$B:$B,PL_Consol!$B9)+SUMIFS(PL_FNB!E:E,PL_FNB!$B:$B,PL_Consol!$B9)</f>
        <v>612.20136052166492</v>
      </c>
      <c r="G9" s="118">
        <f>SUMIFS(PL_Kochi!F:F,PL_Kochi!$B:$B,PL_Consol!$B9)+SUMIFS(PL_Calicut!F:F,PL_Calicut!$B:$B,PL_Consol!$B9)+SUMIFS(PL_FNB!F:F,PL_FNB!$B:$B,PL_Consol!$B9)</f>
        <v>743.56544744860253</v>
      </c>
      <c r="H9" s="118">
        <f>SUMIFS(PL_Kochi!G:G,PL_Kochi!$B:$B,PL_Consol!$B9)+SUMIFS(PL_Calicut!G:G,PL_Calicut!$B:$B,PL_Consol!$B9)+SUMIFS(PL_FNB!G:G,PL_FNB!$B:$B,PL_Consol!$B9)</f>
        <v>713.72688265958209</v>
      </c>
      <c r="I9" s="118">
        <f>SUMIFS(PL_Kochi!H:H,PL_Kochi!$B:$B,PL_Consol!$B9)+SUMIFS(PL_Calicut!H:H,PL_Calicut!$B:$B,PL_Consol!$B9)+SUMIFS(PL_FNB!H:H,PL_FNB!$B:$B,PL_Consol!$B9)</f>
        <v>699.15029225930061</v>
      </c>
      <c r="J9" s="118">
        <f>SUMIFS(PL_Kochi!I:I,PL_Kochi!$B:$B,PL_Consol!$B9)+SUMIFS(PL_Calicut!I:I,PL_Calicut!$B:$B,PL_Consol!$B9)+SUMIFS(PL_FNB!I:I,PL_FNB!$B:$B,PL_Consol!$B9)</f>
        <v>692.38880236218984</v>
      </c>
      <c r="K9" s="118">
        <f>SUMIFS(PL_Kochi!J:J,PL_Kochi!$B:$B,PL_Consol!$B9)+SUMIFS(PL_Calicut!J:J,PL_Calicut!$B:$B,PL_Consol!$B9)+SUMIFS(PL_FNB!J:J,PL_FNB!$B:$B,PL_Consol!$B9)</f>
        <v>631.33109740722432</v>
      </c>
      <c r="L9" s="118">
        <f>SUMIFS(PL_Kochi!K:K,PL_Kochi!$B:$B,PL_Consol!$B9)+SUMIFS(PL_Calicut!K:K,PL_Calicut!$B:$B,PL_Consol!$B9)+SUMIFS(PL_FNB!K:K,PL_FNB!$B:$B,PL_Consol!$B9)</f>
        <v>650.09552502252313</v>
      </c>
      <c r="M9" s="118">
        <f>SUMIFS(PL_Kochi!L:L,PL_Kochi!$B:$B,PL_Consol!$B9)+SUMIFS(PL_Calicut!L:L,PL_Calicut!$B:$B,PL_Consol!$B9)+SUMIFS(PL_FNB!L:L,PL_FNB!$B:$B,PL_Consol!$B9)</f>
        <v>742.60137416214366</v>
      </c>
      <c r="N9" s="118">
        <f>SUMIFS(PL_Kochi!M:M,PL_Kochi!$B:$B,PL_Consol!$B9)+SUMIFS(PL_Calicut!M:M,PL_Calicut!$B:$B,PL_Consol!$B9)+SUMIFS(PL_FNB!M:M,PL_FNB!$B:$B,PL_Consol!$B9)</f>
        <v>667.29974517912149</v>
      </c>
      <c r="O9" s="118">
        <f>SUMIFS(PL_Kochi!N:N,PL_Kochi!$B:$B,PL_Consol!$B9)+SUMIFS(PL_Calicut!N:N,PL_Calicut!$B:$B,PL_Consol!$B9)+SUMIFS(PL_FNB!N:N,PL_FNB!$B:$B,PL_Consol!$B9)</f>
        <v>619.02266305183741</v>
      </c>
      <c r="P9" s="118">
        <f t="shared" si="0"/>
        <v>8072.5624826678513</v>
      </c>
      <c r="Q9" s="118">
        <v>8131.6123528142889</v>
      </c>
      <c r="R9" s="118">
        <v>6731.8623630847696</v>
      </c>
      <c r="S9" s="118">
        <f>SUMIFS(PL_Kochi!R:R,PL_Kochi!$B:$B,PL_Consol!$B9)+SUMIFS(PL_Calicut!R:R,PL_Calicut!$B:$B,PL_Consol!$B9)+SUMIFS(PL_FNB!R:R,PL_FNB!$B:$B,PL_Consol!$B9)</f>
        <v>631.38285925538662</v>
      </c>
      <c r="T9" s="122">
        <f>SUMIFS(PL_Kochi!$S:$S,PL_Kochi!$B:$B,PL_Consol!B9)+SUMIFS(PL_Calicut!$S:$S,PL_Calicut!$B:$B,PL_Consol!B9)+SUMIFS(PL_FNB!$S:$S,PL_FNB!$B:$B,PL_Consol!B9)</f>
        <v>681.16853800000001</v>
      </c>
      <c r="U9" s="118">
        <f>1161.6-431.3</f>
        <v>730.3</v>
      </c>
      <c r="V9" s="157">
        <f t="shared" si="1"/>
        <v>2.6507118456979617E-2</v>
      </c>
      <c r="W9" s="157">
        <f t="shared" si="2"/>
        <v>7.8851806023571003E-2</v>
      </c>
      <c r="X9" s="158">
        <f t="shared" si="3"/>
        <v>0.93272427495549781</v>
      </c>
    </row>
    <row r="10" spans="2:26" x14ac:dyDescent="0.35">
      <c r="B10" s="126" t="s">
        <v>201</v>
      </c>
      <c r="C10" s="67">
        <v>4</v>
      </c>
      <c r="D10" s="118">
        <f>SUMIFS(PL_Kochi!C:C,PL_Kochi!$B:$B,PL_Consol!$B10)+SUMIFS(PL_Calicut!C:C,PL_Calicut!$B:$B,PL_Consol!$B10)+SUMIFS(PL_FNB!C:C,PL_FNB!$B:$B,PL_Consol!$B10)</f>
        <v>322.08610424376411</v>
      </c>
      <c r="E10" s="118">
        <f>SUMIFS(PL_Kochi!D:D,PL_Kochi!$B:$B,PL_Consol!$B10)+SUMIFS(PL_Calicut!D:D,PL_Calicut!$B:$B,PL_Consol!$B10)+SUMIFS(PL_FNB!D:D,PL_FNB!$B:$B,PL_Consol!$B10)</f>
        <v>344.86246580612942</v>
      </c>
      <c r="F10" s="118">
        <f>SUMIFS(PL_Kochi!E:E,PL_Kochi!$B:$B,PL_Consol!$B10)+SUMIFS(PL_Calicut!E:E,PL_Calicut!$B:$B,PL_Consol!$B10)+SUMIFS(PL_FNB!E:E,PL_FNB!$B:$B,PL_Consol!$B10)</f>
        <v>299.17608730813868</v>
      </c>
      <c r="G10" s="118">
        <f>SUMIFS(PL_Kochi!F:F,PL_Kochi!$B:$B,PL_Consol!$B10)+SUMIFS(PL_Calicut!F:F,PL_Calicut!$B:$B,PL_Consol!$B10)+SUMIFS(PL_FNB!F:F,PL_FNB!$B:$B,PL_Consol!$B10)</f>
        <v>348.22763635269729</v>
      </c>
      <c r="H10" s="118">
        <f>SUMIFS(PL_Kochi!G:G,PL_Kochi!$B:$B,PL_Consol!$B10)+SUMIFS(PL_Calicut!G:G,PL_Calicut!$B:$B,PL_Consol!$B10)+SUMIFS(PL_FNB!G:G,PL_FNB!$B:$B,PL_Consol!$B10)</f>
        <v>384.89450103039695</v>
      </c>
      <c r="I10" s="118">
        <f>SUMIFS(PL_Kochi!H:H,PL_Kochi!$B:$B,PL_Consol!$B10)+SUMIFS(PL_Calicut!H:H,PL_Calicut!$B:$B,PL_Consol!$B10)+SUMIFS(PL_FNB!H:H,PL_FNB!$B:$B,PL_Consol!$B10)</f>
        <v>344.28042035849302</v>
      </c>
      <c r="J10" s="118">
        <f>SUMIFS(PL_Kochi!I:I,PL_Kochi!$B:$B,PL_Consol!$B10)+SUMIFS(PL_Calicut!I:I,PL_Calicut!$B:$B,PL_Consol!$B10)+SUMIFS(PL_FNB!I:I,PL_FNB!$B:$B,PL_Consol!$B10)</f>
        <v>348.91354728847443</v>
      </c>
      <c r="K10" s="118">
        <f>SUMIFS(PL_Kochi!J:J,PL_Kochi!$B:$B,PL_Consol!$B10)+SUMIFS(PL_Calicut!J:J,PL_Calicut!$B:$B,PL_Consol!$B10)+SUMIFS(PL_FNB!J:J,PL_FNB!$B:$B,PL_Consol!$B10)</f>
        <v>308.22254633559021</v>
      </c>
      <c r="L10" s="118">
        <f>SUMIFS(PL_Kochi!K:K,PL_Kochi!$B:$B,PL_Consol!$B10)+SUMIFS(PL_Calicut!K:K,PL_Calicut!$B:$B,PL_Consol!$B10)+SUMIFS(PL_FNB!K:K,PL_FNB!$B:$B,PL_Consol!$B10)</f>
        <v>345.34108544778275</v>
      </c>
      <c r="M10" s="118">
        <f>SUMIFS(PL_Kochi!L:L,PL_Kochi!$B:$B,PL_Consol!$B10)+SUMIFS(PL_Calicut!L:L,PL_Calicut!$B:$B,PL_Consol!$B10)+SUMIFS(PL_FNB!L:L,PL_FNB!$B:$B,PL_Consol!$B10)</f>
        <v>369.29488628741518</v>
      </c>
      <c r="N10" s="118">
        <f>SUMIFS(PL_Kochi!M:M,PL_Kochi!$B:$B,PL_Consol!$B10)+SUMIFS(PL_Calicut!M:M,PL_Calicut!$B:$B,PL_Consol!$B10)+SUMIFS(PL_FNB!M:M,PL_FNB!$B:$B,PL_Consol!$B10)</f>
        <v>335.17450970854748</v>
      </c>
      <c r="O10" s="118">
        <f>SUMIFS(PL_Kochi!N:N,PL_Kochi!$B:$B,PL_Consol!$B10)+SUMIFS(PL_Calicut!N:N,PL_Calicut!$B:$B,PL_Consol!$B10)+SUMIFS(PL_FNB!N:N,PL_FNB!$B:$B,PL_Consol!$B10)</f>
        <v>346.93941120502359</v>
      </c>
      <c r="P10" s="118">
        <f t="shared" si="0"/>
        <v>4097.4132013724538</v>
      </c>
      <c r="Q10" s="118">
        <v>4127.4304906485331</v>
      </c>
      <c r="R10" s="118">
        <v>3416.910318506601</v>
      </c>
      <c r="S10" s="118">
        <f>SUMIFS(PL_Kochi!R:R,PL_Kochi!$B:$B,PL_Consol!$B10)+SUMIFS(PL_Calicut!R:R,PL_Calicut!$B:$B,PL_Consol!$B10)+SUMIFS(PL_FNB!R:R,PL_FNB!$B:$B,PL_Consol!$B10)</f>
        <v>349.32570771285361</v>
      </c>
      <c r="T10" s="122">
        <f>SUMIFS(PL_Kochi!$S:$S,PL_Kochi!$B:$B,PL_Consol!B10)+SUMIFS(PL_Calicut!$S:$S,PL_Calicut!$B:$B,PL_Consol!B10)+SUMIFS(PL_FNB!$S:$S,PL_FNB!$B:$B,PL_Consol!B10)</f>
        <v>343.2551418999999</v>
      </c>
      <c r="U10" s="118">
        <v>431.31397298834304</v>
      </c>
      <c r="V10" s="157">
        <f t="shared" si="1"/>
        <v>-4.6607678871991576E-3</v>
      </c>
      <c r="W10" s="157">
        <f t="shared" si="2"/>
        <v>-1.7377953236249466E-2</v>
      </c>
      <c r="X10" s="158">
        <f t="shared" si="3"/>
        <v>0.79583589541922151</v>
      </c>
      <c r="Z10" s="39"/>
    </row>
    <row r="11" spans="2:26" x14ac:dyDescent="0.35">
      <c r="B11" s="126" t="s">
        <v>261</v>
      </c>
      <c r="C11" s="67">
        <v>5</v>
      </c>
      <c r="D11" s="118">
        <f>SUMIFS(PL_Kochi!C:C,PL_Kochi!$B:$B,PL_Consol!$B11)+SUMIFS(PL_Calicut!C:C,PL_Calicut!$B:$B,PL_Consol!$B11)+SUMIFS(PL_FNB!C:C,PL_FNB!$B:$B,PL_Consol!$B11)</f>
        <v>0</v>
      </c>
      <c r="E11" s="118">
        <f>SUMIFS(PL_Kochi!D:D,PL_Kochi!$B:$B,PL_Consol!$B11)+SUMIFS(PL_Calicut!D:D,PL_Calicut!$B:$B,PL_Consol!$B11)+SUMIFS(PL_FNB!D:D,PL_FNB!$B:$B,PL_Consol!$B11)</f>
        <v>0</v>
      </c>
      <c r="F11" s="118">
        <f>SUMIFS(PL_Kochi!E:E,PL_Kochi!$B:$B,PL_Consol!$B11)+SUMIFS(PL_Calicut!E:E,PL_Calicut!$B:$B,PL_Consol!$B11)+SUMIFS(PL_FNB!E:E,PL_FNB!$B:$B,PL_Consol!$B11)</f>
        <v>0</v>
      </c>
      <c r="G11" s="118">
        <f>SUMIFS(PL_Kochi!F:F,PL_Kochi!$B:$B,PL_Consol!$B11)+SUMIFS(PL_Calicut!F:F,PL_Calicut!$B:$B,PL_Consol!$B11)+SUMIFS(PL_FNB!F:F,PL_FNB!$B:$B,PL_Consol!$B11)</f>
        <v>1.30484974226678</v>
      </c>
      <c r="H11" s="118">
        <f>SUMIFS(PL_Kochi!G:G,PL_Kochi!$B:$B,PL_Consol!$B11)+SUMIFS(PL_Calicut!G:G,PL_Calicut!$B:$B,PL_Consol!$B11)+SUMIFS(PL_FNB!G:G,PL_FNB!$B:$B,PL_Consol!$B11)</f>
        <v>1.9660110643217461</v>
      </c>
      <c r="I11" s="118">
        <f>SUMIFS(PL_Kochi!H:H,PL_Kochi!$B:$B,PL_Consol!$B11)+SUMIFS(PL_Calicut!H:H,PL_Calicut!$B:$B,PL_Consol!$B11)+SUMIFS(PL_FNB!H:H,PL_FNB!$B:$B,PL_Consol!$B11)</f>
        <v>0.28107446916916062</v>
      </c>
      <c r="J11" s="118">
        <f>SUMIFS(PL_Kochi!I:I,PL_Kochi!$B:$B,PL_Consol!$B11)+SUMIFS(PL_Calicut!I:I,PL_Calicut!$B:$B,PL_Consol!$B11)+SUMIFS(PL_FNB!I:I,PL_FNB!$B:$B,PL_Consol!$B11)</f>
        <v>0.49013010942627172</v>
      </c>
      <c r="K11" s="118">
        <f>SUMIFS(PL_Kochi!J:J,PL_Kochi!$B:$B,PL_Consol!$B11)+SUMIFS(PL_Calicut!J:J,PL_Calicut!$B:$B,PL_Consol!$B11)+SUMIFS(PL_FNB!J:J,PL_FNB!$B:$B,PL_Consol!$B11)</f>
        <v>0.41512359229509438</v>
      </c>
      <c r="L11" s="118">
        <f>SUMIFS(PL_Kochi!K:K,PL_Kochi!$B:$B,PL_Consol!$B11)+SUMIFS(PL_Calicut!K:K,PL_Calicut!$B:$B,PL_Consol!$B11)+SUMIFS(PL_FNB!K:K,PL_FNB!$B:$B,PL_Consol!$B11)</f>
        <v>0.46913222464564425</v>
      </c>
      <c r="M11" s="118">
        <f>SUMIFS(PL_Kochi!L:L,PL_Kochi!$B:$B,PL_Consol!$B11)+SUMIFS(PL_Calicut!L:L,PL_Calicut!$B:$B,PL_Consol!$B11)+SUMIFS(PL_FNB!L:L,PL_FNB!$B:$B,PL_Consol!$B11)</f>
        <v>0.23805783091144336</v>
      </c>
      <c r="N11" s="118">
        <f>SUMIFS(PL_Kochi!M:M,PL_Kochi!$B:$B,PL_Consol!$B11)+SUMIFS(PL_Calicut!M:M,PL_Calicut!$B:$B,PL_Consol!$B11)+SUMIFS(PL_FNB!M:M,PL_FNB!$B:$B,PL_Consol!$B11)</f>
        <v>0.23629079665114419</v>
      </c>
      <c r="O11" s="118">
        <f>SUMIFS(PL_Kochi!N:N,PL_Kochi!$B:$B,PL_Consol!$B11)+SUMIFS(PL_Calicut!N:N,PL_Calicut!$B:$B,PL_Consol!$B11)+SUMIFS(PL_FNB!N:N,PL_FNB!$B:$B,PL_Consol!$B11)</f>
        <v>0.62416155661863348</v>
      </c>
      <c r="P11" s="118">
        <f t="shared" si="0"/>
        <v>6.0248313863059186</v>
      </c>
      <c r="Q11" s="118">
        <v>0</v>
      </c>
      <c r="R11" s="118">
        <v>0</v>
      </c>
      <c r="S11" s="118">
        <f>SUMIFS(PL_Kochi!R:R,PL_Kochi!$B:$B,PL_Consol!$B11)+SUMIFS(PL_Calicut!R:R,PL_Calicut!$B:$B,PL_Consol!$B11)+SUMIFS(PL_FNB!R:R,PL_FNB!$B:$B,PL_Consol!$B11)</f>
        <v>6.1515039318565196E-2</v>
      </c>
      <c r="T11" s="122">
        <f>SUMIFS(PL_Kochi!$S:$S,PL_Kochi!$B:$B,PL_Consol!B11)+SUMIFS(PL_Calicut!$S:$S,PL_Calicut!$B:$B,PL_Consol!B11)+SUMIFS(PL_FNB!$S:$S,PL_FNB!$B:$B,PL_Consol!B11)</f>
        <v>0.15</v>
      </c>
      <c r="U11" s="118">
        <v>0</v>
      </c>
      <c r="V11" s="157" t="str">
        <f t="shared" si="1"/>
        <v>-</v>
      </c>
      <c r="W11" s="157">
        <f>IFERROR(T11/S11-1,"-")</f>
        <v>1.4384280927335782</v>
      </c>
      <c r="X11" s="158" t="str">
        <f t="shared" si="3"/>
        <v>-</v>
      </c>
    </row>
    <row r="12" spans="2:26" x14ac:dyDescent="0.35">
      <c r="B12" s="126" t="s">
        <v>508</v>
      </c>
      <c r="C12" s="67">
        <v>6</v>
      </c>
      <c r="D12" s="118">
        <f>SUMIFS(PL_Kochi!C:C,PL_Kochi!$B:$B,PL_Consol!$B12)+SUMIFS(PL_Calicut!C:C,PL_Calicut!$B:$B,PL_Consol!$B12)+SUMIFS(PL_FNB!C:C,PL_FNB!$B:$B,PL_Consol!$B12)</f>
        <v>134.45512019999998</v>
      </c>
      <c r="E12" s="118">
        <f>SUMIFS(PL_Kochi!D:D,PL_Kochi!$B:$B,PL_Consol!$B12)+SUMIFS(PL_Calicut!D:D,PL_Calicut!$B:$B,PL_Consol!$B12)+SUMIFS(PL_FNB!D:D,PL_FNB!$B:$B,PL_Consol!$B12)</f>
        <v>142.66725490000002</v>
      </c>
      <c r="F12" s="118">
        <f>SUMIFS(PL_Kochi!E:E,PL_Kochi!$B:$B,PL_Consol!$B12)+SUMIFS(PL_Calicut!E:E,PL_Calicut!$B:$B,PL_Consol!$B12)+SUMIFS(PL_FNB!E:E,PL_FNB!$B:$B,PL_Consol!$B12)</f>
        <v>132.13447833684393</v>
      </c>
      <c r="G12" s="118">
        <f>SUMIFS(PL_Kochi!F:F,PL_Kochi!$B:$B,PL_Consol!$B12)+SUMIFS(PL_Calicut!F:F,PL_Calicut!$B:$B,PL_Consol!$B12)+SUMIFS(PL_FNB!F:F,PL_FNB!$B:$B,PL_Consol!$B12)</f>
        <v>154.33056832694731</v>
      </c>
      <c r="H12" s="118">
        <f>SUMIFS(PL_Kochi!G:G,PL_Kochi!$B:$B,PL_Consol!$B12)+SUMIFS(PL_Calicut!G:G,PL_Calicut!$B:$B,PL_Consol!$B12)+SUMIFS(PL_FNB!G:G,PL_FNB!$B:$B,PL_Consol!$B12)</f>
        <v>153.96557820000001</v>
      </c>
      <c r="I12" s="118">
        <f>SUMIFS(PL_Kochi!H:H,PL_Kochi!$B:$B,PL_Consol!$B12)+SUMIFS(PL_Calicut!H:H,PL_Calicut!$B:$B,PL_Consol!$B12)+SUMIFS(PL_FNB!H:H,PL_FNB!$B:$B,PL_Consol!$B12)</f>
        <v>148.75408620016523</v>
      </c>
      <c r="J12" s="118">
        <f>SUMIFS(PL_Kochi!I:I,PL_Kochi!$B:$B,PL_Consol!$B12)+SUMIFS(PL_Calicut!I:I,PL_Calicut!$B:$B,PL_Consol!$B12)+SUMIFS(PL_FNB!I:I,PL_FNB!$B:$B,PL_Consol!$B12)</f>
        <v>147.87832950000001</v>
      </c>
      <c r="K12" s="118">
        <f>SUMIFS(PL_Kochi!J:J,PL_Kochi!$B:$B,PL_Consol!$B12)+SUMIFS(PL_Calicut!J:J,PL_Calicut!$B:$B,PL_Consol!$B12)+SUMIFS(PL_FNB!J:J,PL_FNB!$B:$B,PL_Consol!$B12)</f>
        <v>138.58873541221513</v>
      </c>
      <c r="L12" s="118">
        <f>SUMIFS(PL_Kochi!K:K,PL_Kochi!$B:$B,PL_Consol!$B12)+SUMIFS(PL_Calicut!K:K,PL_Calicut!$B:$B,PL_Consol!$B12)+SUMIFS(PL_FNB!K:K,PL_FNB!$B:$B,PL_Consol!$B12)</f>
        <v>142.79662729999998</v>
      </c>
      <c r="M12" s="118">
        <f>SUMIFS(PL_Kochi!L:L,PL_Kochi!$B:$B,PL_Consol!$B12)+SUMIFS(PL_Calicut!L:L,PL_Calicut!$B:$B,PL_Consol!$B12)+SUMIFS(PL_FNB!L:L,PL_FNB!$B:$B,PL_Consol!$B12)</f>
        <v>156.47398394194488</v>
      </c>
      <c r="N12" s="118">
        <f>SUMIFS(PL_Kochi!M:M,PL_Kochi!$B:$B,PL_Consol!$B12)+SUMIFS(PL_Calicut!M:M,PL_Calicut!$B:$B,PL_Consol!$B12)+SUMIFS(PL_FNB!M:M,PL_FNB!$B:$B,PL_Consol!$B12)</f>
        <v>143.1007635</v>
      </c>
      <c r="O12" s="118">
        <f>SUMIFS(PL_Kochi!N:N,PL_Kochi!$B:$B,PL_Consol!$B12)+SUMIFS(PL_Calicut!N:N,PL_Calicut!$B:$B,PL_Consol!$B12)+SUMIFS(PL_FNB!N:N,PL_FNB!$B:$B,PL_Consol!$B12)</f>
        <v>135.02678273911505</v>
      </c>
      <c r="P12" s="118">
        <f t="shared" si="0"/>
        <v>1730.1723085572316</v>
      </c>
      <c r="Q12" s="118">
        <v>1853.3034659519999</v>
      </c>
      <c r="R12" s="118">
        <v>1643.72</v>
      </c>
      <c r="S12" s="118">
        <f>SUMIFS(PL_Kochi!R:R,PL_Kochi!$B:$B,PL_Consol!$B12)+SUMIFS(PL_Calicut!R:R,PL_Calicut!$B:$B,PL_Consol!$B12)+SUMIFS(PL_FNB!R:R,PL_FNB!$B:$B,PL_Consol!$B12)</f>
        <v>157.02992320000001</v>
      </c>
      <c r="T12" s="122">
        <f>SUMIFS(PL_Kochi!$S:$S,PL_Kochi!$B:$B,PL_Consol!B12)+SUMIFS(PL_Calicut!$S:$S,PL_Calicut!$B:$B,PL_Consol!B12)+SUMIFS(PL_FNB!$S:$S,PL_FNB!$B:$B,PL_Consol!B12)</f>
        <v>167.08431420000002</v>
      </c>
      <c r="U12" s="118">
        <v>172.6</v>
      </c>
      <c r="V12" s="157">
        <f t="shared" si="1"/>
        <v>0.17114690625480034</v>
      </c>
      <c r="W12" s="157">
        <f t="shared" si="2"/>
        <v>6.4028503581411655E-2</v>
      </c>
      <c r="X12" s="158">
        <f t="shared" si="3"/>
        <v>0.96804353534183096</v>
      </c>
    </row>
    <row r="13" spans="2:26" x14ac:dyDescent="0.35">
      <c r="B13" s="127" t="s">
        <v>329</v>
      </c>
      <c r="C13" s="67"/>
      <c r="D13" s="119">
        <f t="shared" ref="D13:P13" si="4">SUM(D7:D12)</f>
        <v>3344.7192697059077</v>
      </c>
      <c r="E13" s="119">
        <f t="shared" si="4"/>
        <v>3672.7499384753178</v>
      </c>
      <c r="F13" s="119">
        <f t="shared" si="4"/>
        <v>3306.7244597358813</v>
      </c>
      <c r="G13" s="119">
        <f t="shared" si="4"/>
        <v>3901.9795309801029</v>
      </c>
      <c r="H13" s="119">
        <f t="shared" si="4"/>
        <v>4009.1172419795612</v>
      </c>
      <c r="I13" s="119">
        <f t="shared" si="4"/>
        <v>3930.8200110907524</v>
      </c>
      <c r="J13" s="119">
        <f t="shared" si="4"/>
        <v>3905.8866719823986</v>
      </c>
      <c r="K13" s="119">
        <f t="shared" si="4"/>
        <v>3497.3797467065915</v>
      </c>
      <c r="L13" s="119">
        <f t="shared" si="4"/>
        <v>3715.3883361412672</v>
      </c>
      <c r="M13" s="119">
        <f t="shared" si="4"/>
        <v>4252.0189028764653</v>
      </c>
      <c r="N13" s="119">
        <f t="shared" si="4"/>
        <v>3856.2361677642693</v>
      </c>
      <c r="O13" s="119">
        <f t="shared" si="4"/>
        <v>3676.2045609230227</v>
      </c>
      <c r="P13" s="119">
        <f t="shared" si="4"/>
        <v>45069.224838361537</v>
      </c>
      <c r="Q13" s="119">
        <f>SUM(Q7:Q12)</f>
        <v>49904.064709414823</v>
      </c>
      <c r="R13" s="119">
        <f>SUM(R7:R12)</f>
        <v>40677.46108304373</v>
      </c>
      <c r="S13" s="119">
        <f>SUM(S7:S12)</f>
        <v>4229.7410023622142</v>
      </c>
      <c r="T13" s="119">
        <f>SUM(T7:T12)</f>
        <v>4408.3118303000001</v>
      </c>
      <c r="U13" s="119">
        <f>SUM(U7:U12)</f>
        <v>4293.9573277484405</v>
      </c>
      <c r="V13" s="171">
        <f t="shared" si="1"/>
        <v>0.20027551675081878</v>
      </c>
      <c r="W13" s="171">
        <f t="shared" si="2"/>
        <v>4.2217910703766126E-2</v>
      </c>
      <c r="X13" s="153">
        <f t="shared" ref="X13:X45" si="5">IFERROR(S13/U13,"-")</f>
        <v>0.98504495492508803</v>
      </c>
    </row>
    <row r="14" spans="2:26" x14ac:dyDescent="0.35">
      <c r="B14" s="126" t="s">
        <v>222</v>
      </c>
      <c r="C14" s="67">
        <v>7</v>
      </c>
      <c r="D14" s="118">
        <f>SUMIFS(PL_Kochi!C:C,PL_Kochi!$B:$B,PL_Consol!$B14)+SUMIFS(PL_Calicut!C:C,PL_Calicut!$B:$B,PL_Consol!$B14)+SUMIFS(PL_FNB!C:C,PL_FNB!$B:$B,PL_Consol!$B14)</f>
        <v>22.023866894092194</v>
      </c>
      <c r="E14" s="118">
        <f>SUMIFS(PL_Kochi!D:D,PL_Kochi!$B:$B,PL_Consol!$B14)+SUMIFS(PL_Calicut!D:D,PL_Calicut!$B:$B,PL_Consol!$B14)+SUMIFS(PL_FNB!D:D,PL_FNB!$B:$B,PL_Consol!$B14)</f>
        <v>69.4418758246821</v>
      </c>
      <c r="F14" s="118">
        <f>SUMIFS(PL_Kochi!E:E,PL_Kochi!$B:$B,PL_Consol!$B14)+SUMIFS(PL_Calicut!E:E,PL_Calicut!$B:$B,PL_Consol!$B14)+SUMIFS(PL_FNB!E:E,PL_FNB!$B:$B,PL_Consol!$B14)</f>
        <v>62.903432864118564</v>
      </c>
      <c r="G14" s="118">
        <f>SUMIFS(PL_Kochi!F:F,PL_Kochi!$B:$B,PL_Consol!$B14)+SUMIFS(PL_Calicut!F:F,PL_Calicut!$B:$B,PL_Consol!$B14)+SUMIFS(PL_FNB!F:F,PL_FNB!$B:$B,PL_Consol!$B14)</f>
        <v>15.475535919896704</v>
      </c>
      <c r="H14" s="118">
        <f>SUMIFS(PL_Kochi!G:G,PL_Kochi!$B:$B,PL_Consol!$B14)+SUMIFS(PL_Calicut!G:G,PL_Calicut!$B:$B,PL_Consol!$B14)+SUMIFS(PL_FNB!G:G,PL_FNB!$B:$B,PL_Consol!$B14)</f>
        <v>22.113475720438256</v>
      </c>
      <c r="I14" s="118">
        <f>SUMIFS(PL_Kochi!H:H,PL_Kochi!$B:$B,PL_Consol!$B14)+SUMIFS(PL_Calicut!H:H,PL_Calicut!$B:$B,PL_Consol!$B14)+SUMIFS(PL_FNB!H:H,PL_FNB!$B:$B,PL_Consol!$B14)</f>
        <v>25.55278670924708</v>
      </c>
      <c r="J14" s="118">
        <f>SUMIFS(PL_Kochi!I:I,PL_Kochi!$B:$B,PL_Consol!$B14)+SUMIFS(PL_Calicut!I:I,PL_Calicut!$B:$B,PL_Consol!$B14)+SUMIFS(PL_FNB!I:I,PL_FNB!$B:$B,PL_Consol!$B14)</f>
        <v>42.725338717601332</v>
      </c>
      <c r="K14" s="118">
        <f>SUMIFS(PL_Kochi!J:J,PL_Kochi!$B:$B,PL_Consol!$B14)+SUMIFS(PL_Calicut!J:J,PL_Calicut!$B:$B,PL_Consol!$B14)+SUMIFS(PL_FNB!J:J,PL_FNB!$B:$B,PL_Consol!$B14)</f>
        <v>29.650771693408235</v>
      </c>
      <c r="L14" s="118">
        <f>SUMIFS(PL_Kochi!K:K,PL_Kochi!$B:$B,PL_Consol!$B14)+SUMIFS(PL_Calicut!K:K,PL_Calicut!$B:$B,PL_Consol!$B14)+SUMIFS(PL_FNB!K:K,PL_FNB!$B:$B,PL_Consol!$B14)</f>
        <v>13.299825358734253</v>
      </c>
      <c r="M14" s="118">
        <f>SUMIFS(PL_Kochi!L:L,PL_Kochi!$B:$B,PL_Consol!$B14)+SUMIFS(PL_Calicut!L:L,PL_Calicut!$B:$B,PL_Consol!$B14)+SUMIFS(PL_FNB!L:L,PL_FNB!$B:$B,PL_Consol!$B14)</f>
        <v>50.366285923534697</v>
      </c>
      <c r="N14" s="118">
        <f>SUMIFS(PL_Kochi!M:M,PL_Kochi!$B:$B,PL_Consol!$B14)+SUMIFS(PL_Calicut!M:M,PL_Calicut!$B:$B,PL_Consol!$B14)+SUMIFS(PL_FNB!M:M,PL_FNB!$B:$B,PL_Consol!$B14)</f>
        <v>207.97370273573091</v>
      </c>
      <c r="O14" s="118">
        <f>SUMIFS(PL_Kochi!N:N,PL_Kochi!$B:$B,PL_Consol!$B14)+SUMIFS(PL_Calicut!N:N,PL_Calicut!$B:$B,PL_Consol!$B14)+SUMIFS(PL_FNB!N:N,PL_FNB!$B:$B,PL_Consol!$B14)</f>
        <v>353.06963447697711</v>
      </c>
      <c r="P14" s="118">
        <f>SUM(D14:O14)</f>
        <v>914.59653283846137</v>
      </c>
      <c r="Q14" s="118">
        <v>498.8130875600001</v>
      </c>
      <c r="R14" s="118">
        <v>897.75891695627001</v>
      </c>
      <c r="S14" s="118">
        <f>SUMIFS(PL_Kochi!R:R,PL_Kochi!$B:$B,PL_Consol!$B14)+SUMIFS(PL_Calicut!R:R,PL_Calicut!$B:$B,PL_Consol!$B14)+SUMIFS(PL_FNB!R:R,PL_FNB!$B:$B,PL_Consol!$B14)</f>
        <v>49.139615737785171</v>
      </c>
      <c r="T14" s="122">
        <f>SUMIFS(PL_Kochi!$S:$S,PL_Kochi!$B:$B,PL_Consol!B14)+SUMIFS(PL_Calicut!$S:$S,PL_Calicut!$B:$B,PL_Consol!B14)+SUMIFS(PL_FNB!$S:$S,PL_FNB!$B:$B,PL_Consol!B14)</f>
        <v>17.637612900000001</v>
      </c>
      <c r="U14" s="118">
        <v>75.599999999999994</v>
      </c>
      <c r="V14" s="157">
        <f t="shared" si="1"/>
        <v>-0.74600897958849544</v>
      </c>
      <c r="W14" s="157">
        <f>IFERROR(T14/S14-1,"-")</f>
        <v>-0.64107141182958371</v>
      </c>
      <c r="X14" s="149">
        <f t="shared" si="5"/>
        <v>0.64999491716647051</v>
      </c>
    </row>
    <row r="15" spans="2:26" x14ac:dyDescent="0.35">
      <c r="B15" s="128" t="s">
        <v>223</v>
      </c>
      <c r="C15" s="26"/>
      <c r="D15" s="120">
        <f>SUM(D13:D14)</f>
        <v>3366.7431366000001</v>
      </c>
      <c r="E15" s="120">
        <f t="shared" ref="E15:P15" si="6">SUM(E13:E14)</f>
        <v>3742.1918142999998</v>
      </c>
      <c r="F15" s="120">
        <f t="shared" si="6"/>
        <v>3369.6278926</v>
      </c>
      <c r="G15" s="120">
        <f t="shared" si="6"/>
        <v>3917.4550668999996</v>
      </c>
      <c r="H15" s="120">
        <f t="shared" si="6"/>
        <v>4031.2307176999993</v>
      </c>
      <c r="I15" s="120">
        <f t="shared" si="6"/>
        <v>3956.3727977999993</v>
      </c>
      <c r="J15" s="120">
        <f t="shared" si="6"/>
        <v>3948.6120107000002</v>
      </c>
      <c r="K15" s="120">
        <f t="shared" si="6"/>
        <v>3527.0305183999999</v>
      </c>
      <c r="L15" s="120">
        <f t="shared" si="6"/>
        <v>3728.6881615000016</v>
      </c>
      <c r="M15" s="120">
        <f t="shared" si="6"/>
        <v>4302.3851887999999</v>
      </c>
      <c r="N15" s="120">
        <f t="shared" si="6"/>
        <v>4064.2098705000003</v>
      </c>
      <c r="O15" s="120">
        <f t="shared" si="6"/>
        <v>4029.2741953999998</v>
      </c>
      <c r="P15" s="120">
        <f t="shared" si="6"/>
        <v>45983.8213712</v>
      </c>
      <c r="Q15" s="120">
        <f>SUM(Q13:Q14)</f>
        <v>50402.877796974826</v>
      </c>
      <c r="R15" s="120">
        <f>SUM(R13:R14)</f>
        <v>41575.22</v>
      </c>
      <c r="S15" s="120">
        <f>SUM(S13:S14)</f>
        <v>4278.8806180999991</v>
      </c>
      <c r="T15" s="120">
        <f>SUM(T13:T14)</f>
        <v>4425.9494432000001</v>
      </c>
      <c r="U15" s="120">
        <f>SUM(U13:U14)</f>
        <v>4369.5573277484409</v>
      </c>
      <c r="V15" s="161">
        <f>IFERROR(T15/E15-1,"-")</f>
        <v>0.18271581544461846</v>
      </c>
      <c r="W15" s="161">
        <f t="shared" si="2"/>
        <v>3.4370864304530624E-2</v>
      </c>
      <c r="X15" s="156">
        <f t="shared" si="5"/>
        <v>0.97924807873039943</v>
      </c>
    </row>
    <row r="16" spans="2:26" ht="6" customHeight="1" x14ac:dyDescent="0.35">
      <c r="B16" s="126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59" t="str">
        <f t="shared" ref="V16:V45" si="7">IFERROR(S16/D16-1,"-")</f>
        <v>-</v>
      </c>
      <c r="W16" s="159" t="str">
        <f t="shared" ref="W16:W45" si="8">IFERROR(S16/O16-1,"-")</f>
        <v>-</v>
      </c>
      <c r="X16" s="149" t="str">
        <f t="shared" si="5"/>
        <v>-</v>
      </c>
    </row>
    <row r="17" spans="2:25" x14ac:dyDescent="0.35">
      <c r="B17" s="126" t="s">
        <v>268</v>
      </c>
      <c r="C17" s="67">
        <v>8</v>
      </c>
      <c r="D17" s="118">
        <f>SUMIFS(PL_Kochi!C:C,PL_Kochi!$B:$B,PL_Consol!$B17)+SUMIFS(PL_Calicut!C:C,PL_Calicut!$B:$B,PL_Consol!$B17)+SUMIFS(PL_FNB!C:C,PL_FNB!$B:$B,PL_Consol!$B17)</f>
        <v>865.38085958657439</v>
      </c>
      <c r="E17" s="118">
        <f>SUMIFS(PL_Kochi!D:D,PL_Kochi!$B:$B,PL_Consol!$B17)+SUMIFS(PL_Calicut!D:D,PL_Calicut!$B:$B,PL_Consol!$B17)+SUMIFS(PL_FNB!D:D,PL_FNB!$B:$B,PL_Consol!$B17)</f>
        <v>1147.3681253506909</v>
      </c>
      <c r="F17" s="118">
        <f>SUMIFS(PL_Kochi!E:E,PL_Kochi!$B:$B,PL_Consol!$B17)+SUMIFS(PL_Calicut!E:E,PL_Calicut!$B:$B,PL_Consol!$B17)+SUMIFS(PL_FNB!E:E,PL_FNB!$B:$B,PL_Consol!$B17)</f>
        <v>1121.8700138491977</v>
      </c>
      <c r="G17" s="118">
        <f>SUMIFS(PL_Kochi!F:F,PL_Kochi!$B:$B,PL_Consol!$B17)+SUMIFS(PL_Calicut!F:F,PL_Calicut!$B:$B,PL_Consol!$B17)+SUMIFS(PL_FNB!F:F,PL_FNB!$B:$B,PL_Consol!$B17)</f>
        <v>1278.5375257943235</v>
      </c>
      <c r="H17" s="118">
        <f>SUMIFS(PL_Kochi!G:G,PL_Kochi!$B:$B,PL_Consol!$B17)+SUMIFS(PL_Calicut!G:G,PL_Calicut!$B:$B,PL_Consol!$B17)+SUMIFS(PL_FNB!G:G,PL_FNB!$B:$B,PL_Consol!$B17)</f>
        <v>1221.3063897178467</v>
      </c>
      <c r="I17" s="118">
        <f>SUMIFS(PL_Kochi!H:H,PL_Kochi!$B:$B,PL_Consol!$B17)+SUMIFS(PL_Calicut!H:H,PL_Calicut!$B:$B,PL_Consol!$B17)+SUMIFS(PL_FNB!H:H,PL_FNB!$B:$B,PL_Consol!$B17)</f>
        <v>1161.3552421958716</v>
      </c>
      <c r="J17" s="118">
        <f>SUMIFS(PL_Kochi!I:I,PL_Kochi!$B:$B,PL_Consol!$B17)+SUMIFS(PL_Calicut!I:I,PL_Calicut!$B:$B,PL_Consol!$B17)+SUMIFS(PL_FNB!I:I,PL_FNB!$B:$B,PL_Consol!$B17)</f>
        <v>1229.9506042620892</v>
      </c>
      <c r="K17" s="118">
        <f>SUMIFS(PL_Kochi!J:J,PL_Kochi!$B:$B,PL_Consol!$B17)+SUMIFS(PL_Calicut!J:J,PL_Calicut!$B:$B,PL_Consol!$B17)+SUMIFS(PL_FNB!J:J,PL_FNB!$B:$B,PL_Consol!$B17)</f>
        <v>1081.0936124130712</v>
      </c>
      <c r="L17" s="118">
        <f>SUMIFS(PL_Kochi!K:K,PL_Kochi!$B:$B,PL_Consol!$B17)+SUMIFS(PL_Calicut!K:K,PL_Calicut!$B:$B,PL_Consol!$B17)+SUMIFS(PL_FNB!K:K,PL_FNB!$B:$B,PL_Consol!$B17)</f>
        <v>1154.116553818126</v>
      </c>
      <c r="M17" s="118">
        <f>SUMIFS(PL_Kochi!L:L,PL_Kochi!$B:$B,PL_Consol!$B17)+SUMIFS(PL_Calicut!L:L,PL_Calicut!$B:$B,PL_Consol!$B17)+SUMIFS(PL_FNB!L:L,PL_FNB!$B:$B,PL_Consol!$B17)</f>
        <v>1242.8874034955097</v>
      </c>
      <c r="N17" s="118">
        <f>SUMIFS(PL_Kochi!M:M,PL_Kochi!$B:$B,PL_Consol!$B17)+SUMIFS(PL_Calicut!M:M,PL_Calicut!$B:$B,PL_Consol!$B17)+SUMIFS(PL_FNB!M:M,PL_FNB!$B:$B,PL_Consol!$B17)</f>
        <v>1171.509760172039</v>
      </c>
      <c r="O17" s="118">
        <f>SUMIFS(PL_Kochi!N:N,PL_Kochi!$B:$B,PL_Consol!$B17)+SUMIFS(PL_Calicut!N:N,PL_Calicut!$B:$B,PL_Consol!$B17)+SUMIFS(PL_FNB!N:N,PL_FNB!$B:$B,PL_Consol!$B17)</f>
        <v>1050.019709566745</v>
      </c>
      <c r="P17" s="118">
        <f t="shared" ref="P17:P36" si="9">SUM(D17:O17)</f>
        <v>13725.395800222084</v>
      </c>
      <c r="Q17" s="118">
        <v>13960.300574899642</v>
      </c>
      <c r="R17" s="118">
        <v>12513.66</v>
      </c>
      <c r="S17" s="118">
        <f>SUMIFS(PL_Kochi!R:R,PL_Kochi!$B:$B,PL_Consol!$B17)+SUMIFS(PL_Calicut!R:R,PL_Calicut!$B:$B,PL_Consol!$B17)+SUMIFS(PL_FNB!R:R,PL_FNB!$B:$B,PL_Consol!$B17)</f>
        <v>1246.2881536535167</v>
      </c>
      <c r="T17" s="122">
        <f>SUMIFS(PL_Kochi!S:S,PL_Kochi!$B:$B,PL_Consol!$B17)+SUMIFS(PL_Calicut!S:S,PL_Calicut!$B:$B,PL_Consol!$B17)+SUMIFS(PL_FNB!S:S,PL_FNB!$B:$B,PL_Consol!$B17)</f>
        <v>1344.9625488400002</v>
      </c>
      <c r="U17" s="118">
        <v>1179.8</v>
      </c>
      <c r="V17" s="157">
        <f t="shared" si="1"/>
        <v>0.1722153676082947</v>
      </c>
      <c r="W17" s="157">
        <f t="shared" si="2"/>
        <v>7.9174623378403863E-2</v>
      </c>
      <c r="X17" s="149">
        <f t="shared" si="5"/>
        <v>1.0563554446969967</v>
      </c>
    </row>
    <row r="18" spans="2:25" x14ac:dyDescent="0.35">
      <c r="B18" s="126" t="s">
        <v>205</v>
      </c>
      <c r="C18" s="67">
        <v>9</v>
      </c>
      <c r="D18" s="118">
        <f>SUMIFS(PL_Kochi!C:C,PL_Kochi!$B:$B,PL_Consol!$B18)+SUMIFS(PL_Calicut!C:C,PL_Calicut!$B:$B,PL_Consol!$B18)+SUMIFS(PL_FNB!C:C,PL_FNB!$B:$B,PL_Consol!$B18)</f>
        <v>625.32472351601291</v>
      </c>
      <c r="E18" s="118">
        <f>SUMIFS(PL_Kochi!D:D,PL_Kochi!$B:$B,PL_Consol!$B18)+SUMIFS(PL_Calicut!D:D,PL_Calicut!$B:$B,PL_Consol!$B18)+SUMIFS(PL_FNB!D:D,PL_FNB!$B:$B,PL_Consol!$B18)</f>
        <v>633.17885081165855</v>
      </c>
      <c r="F18" s="118">
        <f>SUMIFS(PL_Kochi!E:E,PL_Kochi!$B:$B,PL_Consol!$B18)+SUMIFS(PL_Calicut!E:E,PL_Calicut!$B:$B,PL_Consol!$B18)+SUMIFS(PL_FNB!E:E,PL_FNB!$B:$B,PL_Consol!$B18)</f>
        <v>615.54411611898911</v>
      </c>
      <c r="G18" s="118">
        <f>SUMIFS(PL_Kochi!F:F,PL_Kochi!$B:$B,PL_Consol!$B18)+SUMIFS(PL_Calicut!F:F,PL_Calicut!$B:$B,PL_Consol!$B18)+SUMIFS(PL_FNB!F:F,PL_FNB!$B:$B,PL_Consol!$B18)</f>
        <v>671.81446649897453</v>
      </c>
      <c r="H18" s="118">
        <f>SUMIFS(PL_Kochi!G:G,PL_Kochi!$B:$B,PL_Consol!$B18)+SUMIFS(PL_Calicut!G:G,PL_Calicut!$B:$B,PL_Consol!$B18)+SUMIFS(PL_FNB!G:G,PL_FNB!$B:$B,PL_Consol!$B18)</f>
        <v>672.78127515732956</v>
      </c>
      <c r="I18" s="118">
        <f>SUMIFS(PL_Kochi!H:H,PL_Kochi!$B:$B,PL_Consol!$B18)+SUMIFS(PL_Calicut!H:H,PL_Calicut!$B:$B,PL_Consol!$B18)+SUMIFS(PL_FNB!H:H,PL_FNB!$B:$B,PL_Consol!$B18)</f>
        <v>676.88154134478975</v>
      </c>
      <c r="J18" s="118">
        <f>SUMIFS(PL_Kochi!I:I,PL_Kochi!$B:$B,PL_Consol!$B18)+SUMIFS(PL_Calicut!I:I,PL_Calicut!$B:$B,PL_Consol!$B18)+SUMIFS(PL_FNB!I:I,PL_FNB!$B:$B,PL_Consol!$B18)</f>
        <v>654.77263801871686</v>
      </c>
      <c r="K18" s="118">
        <f>SUMIFS(PL_Kochi!J:J,PL_Kochi!$B:$B,PL_Consol!$B18)+SUMIFS(PL_Calicut!J:J,PL_Calicut!$B:$B,PL_Consol!$B18)+SUMIFS(PL_FNB!J:J,PL_FNB!$B:$B,PL_Consol!$B18)</f>
        <v>662.30433016373183</v>
      </c>
      <c r="L18" s="118">
        <f>SUMIFS(PL_Kochi!K:K,PL_Kochi!$B:$B,PL_Consol!$B18)+SUMIFS(PL_Calicut!K:K,PL_Calicut!$B:$B,PL_Consol!$B18)+SUMIFS(PL_FNB!K:K,PL_FNB!$B:$B,PL_Consol!$B18)</f>
        <v>689.30664013007788</v>
      </c>
      <c r="M18" s="118">
        <f>SUMIFS(PL_Kochi!L:L,PL_Kochi!$B:$B,PL_Consol!$B18)+SUMIFS(PL_Calicut!L:L,PL_Calicut!$B:$B,PL_Consol!$B18)+SUMIFS(PL_FNB!L:L,PL_FNB!$B:$B,PL_Consol!$B18)</f>
        <v>699.59809764255181</v>
      </c>
      <c r="N18" s="118">
        <f>SUMIFS(PL_Kochi!M:M,PL_Kochi!$B:$B,PL_Consol!$B18)+SUMIFS(PL_Calicut!M:M,PL_Calicut!$B:$B,PL_Consol!$B18)+SUMIFS(PL_FNB!M:M,PL_FNB!$B:$B,PL_Consol!$B18)</f>
        <v>683.83619199023667</v>
      </c>
      <c r="O18" s="118">
        <f>SUMIFS(PL_Kochi!N:N,PL_Kochi!$B:$B,PL_Consol!$B18)+SUMIFS(PL_Calicut!N:N,PL_Calicut!$B:$B,PL_Consol!$B18)+SUMIFS(PL_FNB!N:N,PL_FNB!$B:$B,PL_Consol!$B18)</f>
        <v>699.42363860367266</v>
      </c>
      <c r="P18" s="118">
        <f t="shared" si="9"/>
        <v>7984.7665099967408</v>
      </c>
      <c r="Q18" s="118">
        <v>9779.2562703662679</v>
      </c>
      <c r="R18" s="118">
        <v>7546.99</v>
      </c>
      <c r="S18" s="118">
        <f>SUMIFS(PL_Kochi!R:R,PL_Kochi!$B:$B,PL_Consol!$B18)+SUMIFS(PL_Calicut!R:R,PL_Calicut!$B:$B,PL_Consol!$B18)+SUMIFS(PL_FNB!R:R,PL_FNB!$B:$B,PL_Consol!$B18)</f>
        <v>715.1693585668487</v>
      </c>
      <c r="T18" s="122">
        <f>SUMIFS(PL_Kochi!S:S,PL_Kochi!$B:$B,PL_Consol!$B18)+SUMIFS(PL_Calicut!S:S,PL_Calicut!$B:$B,PL_Consol!$B18)+SUMIFS(PL_FNB!S:S,PL_FNB!$B:$B,PL_Consol!$B18)</f>
        <v>692.59425999999996</v>
      </c>
      <c r="U18" s="118">
        <v>736</v>
      </c>
      <c r="V18" s="157">
        <f t="shared" si="1"/>
        <v>9.383669260616978E-2</v>
      </c>
      <c r="W18" s="157">
        <f t="shared" si="2"/>
        <v>-3.156608752378276E-2</v>
      </c>
      <c r="X18" s="149">
        <f t="shared" si="5"/>
        <v>0.9716974980527836</v>
      </c>
    </row>
    <row r="19" spans="2:25" x14ac:dyDescent="0.35">
      <c r="B19" s="126" t="s">
        <v>272</v>
      </c>
      <c r="C19" s="67">
        <v>10</v>
      </c>
      <c r="D19" s="118">
        <f>SUMIFS(PL_Kochi!C:C,PL_Kochi!$B:$B,PL_Consol!$B19)+SUMIFS(PL_Calicut!C:C,PL_Calicut!$B:$B,PL_Consol!$B19)+SUMIFS(PL_FNB!C:C,PL_FNB!$B:$B,PL_Consol!$B19)</f>
        <v>554.73431018174892</v>
      </c>
      <c r="E19" s="118">
        <f>SUMIFS(PL_Kochi!D:D,PL_Kochi!$B:$B,PL_Consol!$B19)+SUMIFS(PL_Calicut!D:D,PL_Calicut!$B:$B,PL_Consol!$B19)+SUMIFS(PL_FNB!D:D,PL_FNB!$B:$B,PL_Consol!$B19)</f>
        <v>628.21321158373746</v>
      </c>
      <c r="F19" s="118">
        <f>SUMIFS(PL_Kochi!E:E,PL_Kochi!$B:$B,PL_Consol!$B19)+SUMIFS(PL_Calicut!E:E,PL_Calicut!$B:$B,PL_Consol!$B19)+SUMIFS(PL_FNB!E:E,PL_FNB!$B:$B,PL_Consol!$B19)</f>
        <v>617.87253382458186</v>
      </c>
      <c r="G19" s="118">
        <f>SUMIFS(PL_Kochi!F:F,PL_Kochi!$B:$B,PL_Consol!$B19)+SUMIFS(PL_Calicut!F:F,PL_Calicut!$B:$B,PL_Consol!$B19)+SUMIFS(PL_FNB!F:F,PL_FNB!$B:$B,PL_Consol!$B19)</f>
        <v>628.60266815834939</v>
      </c>
      <c r="H19" s="118">
        <f>SUMIFS(PL_Kochi!G:G,PL_Kochi!$B:$B,PL_Consol!$B19)+SUMIFS(PL_Calicut!G:G,PL_Calicut!$B:$B,PL_Consol!$B19)+SUMIFS(PL_FNB!G:G,PL_FNB!$B:$B,PL_Consol!$B19)</f>
        <v>622.55296729858765</v>
      </c>
      <c r="I19" s="118">
        <f>SUMIFS(PL_Kochi!H:H,PL_Kochi!$B:$B,PL_Consol!$B19)+SUMIFS(PL_Calicut!H:H,PL_Calicut!$B:$B,PL_Consol!$B19)+SUMIFS(PL_FNB!H:H,PL_FNB!$B:$B,PL_Consol!$B19)</f>
        <v>681.43864296548168</v>
      </c>
      <c r="J19" s="118">
        <f>SUMIFS(PL_Kochi!I:I,PL_Kochi!$B:$B,PL_Consol!$B19)+SUMIFS(PL_Calicut!I:I,PL_Calicut!$B:$B,PL_Consol!$B19)+SUMIFS(PL_FNB!I:I,PL_FNB!$B:$B,PL_Consol!$B19)</f>
        <v>645.91963819399507</v>
      </c>
      <c r="K19" s="118">
        <f>SUMIFS(PL_Kochi!J:J,PL_Kochi!$B:$B,PL_Consol!$B19)+SUMIFS(PL_Calicut!J:J,PL_Calicut!$B:$B,PL_Consol!$B19)+SUMIFS(PL_FNB!J:J,PL_FNB!$B:$B,PL_Consol!$B19)</f>
        <v>596.1019641965961</v>
      </c>
      <c r="L19" s="118">
        <f>SUMIFS(PL_Kochi!K:K,PL_Kochi!$B:$B,PL_Consol!$B19)+SUMIFS(PL_Calicut!K:K,PL_Calicut!$B:$B,PL_Consol!$B19)+SUMIFS(PL_FNB!K:K,PL_FNB!$B:$B,PL_Consol!$B19)</f>
        <v>620.42651109836879</v>
      </c>
      <c r="M19" s="118">
        <f>SUMIFS(PL_Kochi!L:L,PL_Kochi!$B:$B,PL_Consol!$B19)+SUMIFS(PL_Calicut!L:L,PL_Calicut!$B:$B,PL_Consol!$B19)+SUMIFS(PL_FNB!L:L,PL_FNB!$B:$B,PL_Consol!$B19)</f>
        <v>609.70921411923428</v>
      </c>
      <c r="N19" s="118">
        <f>SUMIFS(PL_Kochi!M:M,PL_Kochi!$B:$B,PL_Consol!$B19)+SUMIFS(PL_Calicut!M:M,PL_Calicut!$B:$B,PL_Consol!$B19)+SUMIFS(PL_FNB!M:M,PL_FNB!$B:$B,PL_Consol!$B19)</f>
        <v>642.58791189409646</v>
      </c>
      <c r="O19" s="118">
        <f>SUMIFS(PL_Kochi!N:N,PL_Kochi!$B:$B,PL_Consol!$B19)+SUMIFS(PL_Calicut!N:N,PL_Calicut!$B:$B,PL_Consol!$B19)+SUMIFS(PL_FNB!N:N,PL_FNB!$B:$B,PL_Consol!$B19)</f>
        <v>668.03246626093448</v>
      </c>
      <c r="P19" s="118">
        <f t="shared" si="9"/>
        <v>7516.1920397757112</v>
      </c>
      <c r="Q19" s="118">
        <v>10174.401266534711</v>
      </c>
      <c r="R19" s="118">
        <v>7400.74</v>
      </c>
      <c r="S19" s="118">
        <f>SUMIFS(PL_Kochi!R:R,PL_Kochi!$B:$B,PL_Consol!$B19)+SUMIFS(PL_Calicut!R:R,PL_Calicut!$B:$B,PL_Consol!$B19)+SUMIFS(PL_FNB!R:R,PL_FNB!$B:$B,PL_Consol!$B19)</f>
        <v>658.26274202882826</v>
      </c>
      <c r="T19" s="122">
        <f>SUMIFS(PL_Kochi!S:S,PL_Kochi!$B:$B,PL_Consol!$B19)+SUMIFS(PL_Calicut!S:S,PL_Calicut!$B:$B,PL_Consol!$B19)+SUMIFS(PL_FNB!S:S,PL_FNB!$B:$B,PL_Consol!$B19)</f>
        <v>659.87997347756186</v>
      </c>
      <c r="U19" s="118">
        <v>785.9</v>
      </c>
      <c r="V19" s="157">
        <f t="shared" si="1"/>
        <v>5.0407666234831172E-2</v>
      </c>
      <c r="W19" s="157">
        <f t="shared" si="2"/>
        <v>2.4568175372483569E-3</v>
      </c>
      <c r="X19" s="149">
        <f t="shared" si="5"/>
        <v>0.83759096835326163</v>
      </c>
    </row>
    <row r="20" spans="2:25" x14ac:dyDescent="0.35">
      <c r="B20" s="126" t="s">
        <v>278</v>
      </c>
      <c r="C20" s="67">
        <v>11</v>
      </c>
      <c r="D20" s="118">
        <f>SUMIFS(PL_Kochi!C:C,PL_Kochi!$B:$B,PL_Consol!$B20)+SUMIFS(PL_Calicut!C:C,PL_Calicut!$B:$B,PL_Consol!$B20)+SUMIFS(PL_FNB!C:C,PL_FNB!$B:$B,PL_Consol!$B20)</f>
        <v>89.079465309281048</v>
      </c>
      <c r="E20" s="118">
        <f>SUMIFS(PL_Kochi!D:D,PL_Kochi!$B:$B,PL_Consol!$B20)+SUMIFS(PL_Calicut!D:D,PL_Calicut!$B:$B,PL_Consol!$B20)+SUMIFS(PL_FNB!D:D,PL_FNB!$B:$B,PL_Consol!$B20)</f>
        <v>95.752945045009653</v>
      </c>
      <c r="F20" s="118">
        <f>SUMIFS(PL_Kochi!E:E,PL_Kochi!$B:$B,PL_Consol!$B20)+SUMIFS(PL_Calicut!E:E,PL_Calicut!$B:$B,PL_Consol!$B20)+SUMIFS(PL_FNB!E:E,PL_FNB!$B:$B,PL_Consol!$B20)</f>
        <v>105.11127650056974</v>
      </c>
      <c r="G20" s="118">
        <f>SUMIFS(PL_Kochi!F:F,PL_Kochi!$B:$B,PL_Consol!$B20)+SUMIFS(PL_Calicut!F:F,PL_Calicut!$B:$B,PL_Consol!$B20)+SUMIFS(PL_FNB!F:F,PL_FNB!$B:$B,PL_Consol!$B20)</f>
        <v>97.919883795914672</v>
      </c>
      <c r="H20" s="118">
        <f>SUMIFS(PL_Kochi!G:G,PL_Kochi!$B:$B,PL_Consol!$B20)+SUMIFS(PL_Calicut!G:G,PL_Calicut!$B:$B,PL_Consol!$B20)+SUMIFS(PL_FNB!G:G,PL_FNB!$B:$B,PL_Consol!$B20)</f>
        <v>91.137033388475828</v>
      </c>
      <c r="I20" s="118">
        <f>SUMIFS(PL_Kochi!H:H,PL_Kochi!$B:$B,PL_Consol!$B20)+SUMIFS(PL_Calicut!H:H,PL_Calicut!$B:$B,PL_Consol!$B20)+SUMIFS(PL_FNB!H:H,PL_FNB!$B:$B,PL_Consol!$B20)</f>
        <v>97.924134245493505</v>
      </c>
      <c r="J20" s="118">
        <f>SUMIFS(PL_Kochi!I:I,PL_Kochi!$B:$B,PL_Consol!$B20)+SUMIFS(PL_Calicut!I:I,PL_Calicut!$B:$B,PL_Consol!$B20)+SUMIFS(PL_FNB!I:I,PL_FNB!$B:$B,PL_Consol!$B20)</f>
        <v>109.33021994945933</v>
      </c>
      <c r="K20" s="118">
        <f>SUMIFS(PL_Kochi!J:J,PL_Kochi!$B:$B,PL_Consol!$B20)+SUMIFS(PL_Calicut!J:J,PL_Calicut!$B:$B,PL_Consol!$B20)+SUMIFS(PL_FNB!J:J,PL_FNB!$B:$B,PL_Consol!$B20)</f>
        <v>88.77192346627784</v>
      </c>
      <c r="L20" s="118">
        <f>SUMIFS(PL_Kochi!K:K,PL_Kochi!$B:$B,PL_Consol!$B20)+SUMIFS(PL_Calicut!K:K,PL_Calicut!$B:$B,PL_Consol!$B20)+SUMIFS(PL_FNB!K:K,PL_FNB!$B:$B,PL_Consol!$B20)</f>
        <v>98.774789935162659</v>
      </c>
      <c r="M20" s="118">
        <f>SUMIFS(PL_Kochi!L:L,PL_Kochi!$B:$B,PL_Consol!$B20)+SUMIFS(PL_Calicut!L:L,PL_Calicut!$B:$B,PL_Consol!$B20)+SUMIFS(PL_FNB!L:L,PL_FNB!$B:$B,PL_Consol!$B20)</f>
        <v>105.06446578224717</v>
      </c>
      <c r="N20" s="118">
        <f>SUMIFS(PL_Kochi!M:M,PL_Kochi!$B:$B,PL_Consol!$B20)+SUMIFS(PL_Calicut!M:M,PL_Calicut!$B:$B,PL_Consol!$B20)+SUMIFS(PL_FNB!M:M,PL_FNB!$B:$B,PL_Consol!$B20)</f>
        <v>91.249222013359855</v>
      </c>
      <c r="O20" s="118">
        <f>SUMIFS(PL_Kochi!N:N,PL_Kochi!$B:$B,PL_Consol!$B20)+SUMIFS(PL_Calicut!N:N,PL_Calicut!$B:$B,PL_Consol!$B20)+SUMIFS(PL_FNB!N:N,PL_FNB!$B:$B,PL_Consol!$B20)</f>
        <v>122.10167884420164</v>
      </c>
      <c r="P20" s="118">
        <f>SUM(D20:O20)</f>
        <v>1192.217038275453</v>
      </c>
      <c r="Q20" s="118">
        <v>1306.9785790566543</v>
      </c>
      <c r="R20" s="118">
        <v>1245.6199999999999</v>
      </c>
      <c r="S20" s="118">
        <f>SUMIFS(PL_Kochi!R:R,PL_Kochi!$B:$B,PL_Consol!$B20)+SUMIFS(PL_Calicut!R:R,PL_Calicut!$B:$B,PL_Consol!$B20)+SUMIFS(PL_FNB!R:R,PL_FNB!$B:$B,PL_Consol!$B20)</f>
        <v>108.9158688254881</v>
      </c>
      <c r="T20" s="122">
        <f>SUMIFS(PL_Kochi!S:S,PL_Kochi!$B:$B,PL_Consol!$B20)+SUMIFS(PL_Calicut!S:S,PL_Calicut!$B:$B,PL_Consol!$B20)+SUMIFS(PL_FNB!S:S,PL_FNB!$B:$B,PL_Consol!$B20)</f>
        <v>104.62286097</v>
      </c>
      <c r="U20" s="118">
        <v>119.4</v>
      </c>
      <c r="V20" s="157">
        <f t="shared" si="1"/>
        <v>9.263334846589788E-2</v>
      </c>
      <c r="W20" s="157">
        <f t="shared" si="2"/>
        <v>-3.9415816095326073E-2</v>
      </c>
      <c r="X20" s="149">
        <f t="shared" si="5"/>
        <v>0.91219320624361888</v>
      </c>
    </row>
    <row r="21" spans="2:25" x14ac:dyDescent="0.35">
      <c r="B21" s="126" t="s">
        <v>289</v>
      </c>
      <c r="C21" s="67">
        <v>12</v>
      </c>
      <c r="D21" s="118">
        <f>SUMIFS(PL_Kochi!C:C,PL_Kochi!$B:$B,PL_Consol!$B21)+SUMIFS(PL_Calicut!C:C,PL_Calicut!$B:$B,PL_Consol!$B21)+SUMIFS(PL_FNB!C:C,PL_FNB!$B:$B,PL_Consol!$B21)</f>
        <v>71.970159235400317</v>
      </c>
      <c r="E21" s="118">
        <f>SUMIFS(PL_Kochi!D:D,PL_Kochi!$B:$B,PL_Consol!$B21)+SUMIFS(PL_Calicut!D:D,PL_Calicut!$B:$B,PL_Consol!$B21)+SUMIFS(PL_FNB!D:D,PL_FNB!$B:$B,PL_Consol!$B21)</f>
        <v>88.98433711165643</v>
      </c>
      <c r="F21" s="118">
        <f>SUMIFS(PL_Kochi!E:E,PL_Kochi!$B:$B,PL_Consol!$B21)+SUMIFS(PL_Calicut!E:E,PL_Calicut!$B:$B,PL_Consol!$B21)+SUMIFS(PL_FNB!E:E,PL_FNB!$B:$B,PL_Consol!$B21)</f>
        <v>124.64797240498061</v>
      </c>
      <c r="G21" s="118">
        <f>SUMIFS(PL_Kochi!F:F,PL_Kochi!$B:$B,PL_Consol!$B21)+SUMIFS(PL_Calicut!F:F,PL_Calicut!$B:$B,PL_Consol!$B21)+SUMIFS(PL_FNB!F:F,PL_FNB!$B:$B,PL_Consol!$B21)</f>
        <v>125.780803588407</v>
      </c>
      <c r="H21" s="118">
        <f>SUMIFS(PL_Kochi!G:G,PL_Kochi!$B:$B,PL_Consol!$B21)+SUMIFS(PL_Calicut!G:G,PL_Calicut!$B:$B,PL_Consol!$B21)+SUMIFS(PL_FNB!G:G,PL_FNB!$B:$B,PL_Consol!$B21)</f>
        <v>138.05387236227133</v>
      </c>
      <c r="I21" s="118">
        <f>SUMIFS(PL_Kochi!H:H,PL_Kochi!$B:$B,PL_Consol!$B21)+SUMIFS(PL_Calicut!H:H,PL_Calicut!$B:$B,PL_Consol!$B21)+SUMIFS(PL_FNB!H:H,PL_FNB!$B:$B,PL_Consol!$B21)</f>
        <v>153.57038524837668</v>
      </c>
      <c r="J21" s="118">
        <f>SUMIFS(PL_Kochi!I:I,PL_Kochi!$B:$B,PL_Consol!$B21)+SUMIFS(PL_Calicut!I:I,PL_Calicut!$B:$B,PL_Consol!$B21)+SUMIFS(PL_FNB!I:I,PL_FNB!$B:$B,PL_Consol!$B21)</f>
        <v>160.26832062907886</v>
      </c>
      <c r="K21" s="118">
        <f>SUMIFS(PL_Kochi!J:J,PL_Kochi!$B:$B,PL_Consol!$B21)+SUMIFS(PL_Calicut!J:J,PL_Calicut!$B:$B,PL_Consol!$B21)+SUMIFS(PL_FNB!J:J,PL_FNB!$B:$B,PL_Consol!$B21)</f>
        <v>129.30590941744768</v>
      </c>
      <c r="L21" s="118">
        <f>SUMIFS(PL_Kochi!K:K,PL_Kochi!$B:$B,PL_Consol!$B21)+SUMIFS(PL_Calicut!K:K,PL_Calicut!$B:$B,PL_Consol!$B21)+SUMIFS(PL_FNB!K:K,PL_FNB!$B:$B,PL_Consol!$B21)</f>
        <v>100.64707092854229</v>
      </c>
      <c r="M21" s="118">
        <f>SUMIFS(PL_Kochi!L:L,PL_Kochi!$B:$B,PL_Consol!$B21)+SUMIFS(PL_Calicut!L:L,PL_Calicut!$B:$B,PL_Consol!$B21)+SUMIFS(PL_FNB!L:L,PL_FNB!$B:$B,PL_Consol!$B21)</f>
        <v>90.417465306606388</v>
      </c>
      <c r="N21" s="118">
        <f>SUMIFS(PL_Kochi!M:M,PL_Kochi!$B:$B,PL_Consol!$B21)+SUMIFS(PL_Calicut!M:M,PL_Calicut!$B:$B,PL_Consol!$B21)+SUMIFS(PL_FNB!M:M,PL_FNB!$B:$B,PL_Consol!$B21)</f>
        <v>190.35786423743852</v>
      </c>
      <c r="O21" s="118">
        <f>SUMIFS(PL_Kochi!N:N,PL_Kochi!$B:$B,PL_Consol!$B21)+SUMIFS(PL_Calicut!N:N,PL_Calicut!$B:$B,PL_Consol!$B21)+SUMIFS(PL_FNB!N:N,PL_FNB!$B:$B,PL_Consol!$B21)</f>
        <v>186.61879447184114</v>
      </c>
      <c r="P21" s="118">
        <f>SUM(D21:O21)</f>
        <v>1560.622954942047</v>
      </c>
      <c r="Q21" s="118">
        <v>1275.5024124677254</v>
      </c>
      <c r="R21" s="118">
        <v>1328.28</v>
      </c>
      <c r="S21" s="118">
        <f>SUMIFS(PL_Kochi!R:R,PL_Kochi!$B:$B,PL_Consol!$B21)+SUMIFS(PL_Calicut!R:R,PL_Calicut!$B:$B,PL_Consol!$B21)+SUMIFS(PL_FNB!R:R,PL_FNB!$B:$B,PL_Consol!$B21)</f>
        <v>114.68122087015097</v>
      </c>
      <c r="T21" s="122">
        <f>SUMIFS(PL_Kochi!S:S,PL_Kochi!$B:$B,PL_Consol!$B21)+SUMIFS(PL_Calicut!S:S,PL_Calicut!$B:$B,PL_Consol!$B21)+SUMIFS(PL_FNB!S:S,PL_FNB!$B:$B,PL_Consol!$B21)</f>
        <v>79.364062399999995</v>
      </c>
      <c r="U21" s="118">
        <v>23.4</v>
      </c>
      <c r="V21" s="157">
        <f t="shared" si="1"/>
        <v>-0.1081120006500137</v>
      </c>
      <c r="W21" s="157">
        <f>IFERROR(T21/S21-1,"-")</f>
        <v>-0.30795938691775182</v>
      </c>
      <c r="X21" s="149">
        <f t="shared" si="5"/>
        <v>4.9009068747927769</v>
      </c>
      <c r="Y21" s="13"/>
    </row>
    <row r="22" spans="2:25" x14ac:dyDescent="0.35">
      <c r="B22" s="126" t="s">
        <v>311</v>
      </c>
      <c r="C22" s="67">
        <v>13</v>
      </c>
      <c r="D22" s="118">
        <f>SUMIFS(PL_Kochi!C:C,PL_Kochi!$B:$B,PL_Consol!$B22)+SUMIFS(PL_Calicut!C:C,PL_Calicut!$B:$B,PL_Consol!$B22)+SUMIFS(PL_FNB!C:C,PL_FNB!$B:$B,PL_Consol!$B22)</f>
        <v>79.802357213523976</v>
      </c>
      <c r="E22" s="118">
        <f>SUMIFS(PL_Kochi!D:D,PL_Kochi!$B:$B,PL_Consol!$B22)+SUMIFS(PL_Calicut!D:D,PL_Calicut!$B:$B,PL_Consol!$B22)+SUMIFS(PL_FNB!D:D,PL_FNB!$B:$B,PL_Consol!$B22)</f>
        <v>57.816802370425549</v>
      </c>
      <c r="F22" s="118">
        <f>SUMIFS(PL_Kochi!E:E,PL_Kochi!$B:$B,PL_Consol!$B22)+SUMIFS(PL_Calicut!E:E,PL_Calicut!$B:$B,PL_Consol!$B22)+SUMIFS(PL_FNB!E:E,PL_FNB!$B:$B,PL_Consol!$B22)</f>
        <v>59.621195233614039</v>
      </c>
      <c r="G22" s="118">
        <f>SUMIFS(PL_Kochi!F:F,PL_Kochi!$B:$B,PL_Consol!$B22)+SUMIFS(PL_Calicut!F:F,PL_Calicut!$B:$B,PL_Consol!$B22)+SUMIFS(PL_FNB!F:F,PL_FNB!$B:$B,PL_Consol!$B22)</f>
        <v>50.836790715170281</v>
      </c>
      <c r="H22" s="118">
        <f>SUMIFS(PL_Kochi!G:G,PL_Kochi!$B:$B,PL_Consol!$B22)+SUMIFS(PL_Calicut!G:G,PL_Calicut!$B:$B,PL_Consol!$B22)+SUMIFS(PL_FNB!G:G,PL_FNB!$B:$B,PL_Consol!$B22)</f>
        <v>66.430516761152845</v>
      </c>
      <c r="I22" s="118">
        <f>SUMIFS(PL_Kochi!H:H,PL_Kochi!$B:$B,PL_Consol!$B22)+SUMIFS(PL_Calicut!H:H,PL_Calicut!$B:$B,PL_Consol!$B22)+SUMIFS(PL_FNB!H:H,PL_FNB!$B:$B,PL_Consol!$B22)</f>
        <v>84.857806919630207</v>
      </c>
      <c r="J22" s="118">
        <f>SUMIFS(PL_Kochi!I:I,PL_Kochi!$B:$B,PL_Consol!$B22)+SUMIFS(PL_Calicut!I:I,PL_Calicut!$B:$B,PL_Consol!$B22)+SUMIFS(PL_FNB!I:I,PL_FNB!$B:$B,PL_Consol!$B22)</f>
        <v>81.86045999210009</v>
      </c>
      <c r="K22" s="118">
        <f>SUMIFS(PL_Kochi!J:J,PL_Kochi!$B:$B,PL_Consol!$B22)+SUMIFS(PL_Calicut!J:J,PL_Calicut!$B:$B,PL_Consol!$B22)+SUMIFS(PL_FNB!J:J,PL_FNB!$B:$B,PL_Consol!$B22)</f>
        <v>71.772029080939163</v>
      </c>
      <c r="L22" s="118">
        <f>SUMIFS(PL_Kochi!K:K,PL_Kochi!$B:$B,PL_Consol!$B22)+SUMIFS(PL_Calicut!K:K,PL_Calicut!$B:$B,PL_Consol!$B22)+SUMIFS(PL_FNB!K:K,PL_FNB!$B:$B,PL_Consol!$B22)</f>
        <v>77.663978647373852</v>
      </c>
      <c r="M22" s="118">
        <f>SUMIFS(PL_Kochi!L:L,PL_Kochi!$B:$B,PL_Consol!$B22)+SUMIFS(PL_Calicut!L:L,PL_Calicut!$B:$B,PL_Consol!$B22)+SUMIFS(PL_FNB!L:L,PL_FNB!$B:$B,PL_Consol!$B22)</f>
        <v>74.179735623800681</v>
      </c>
      <c r="N22" s="118">
        <f>SUMIFS(PL_Kochi!M:M,PL_Kochi!$B:$B,PL_Consol!$B22)+SUMIFS(PL_Calicut!M:M,PL_Calicut!$B:$B,PL_Consol!$B22)+SUMIFS(PL_FNB!M:M,PL_FNB!$B:$B,PL_Consol!$B22)</f>
        <v>111.78709672811199</v>
      </c>
      <c r="O22" s="118">
        <f>SUMIFS(PL_Kochi!N:N,PL_Kochi!$B:$B,PL_Consol!$B22)+SUMIFS(PL_Calicut!N:N,PL_Calicut!$B:$B,PL_Consol!$B22)+SUMIFS(PL_FNB!N:N,PL_FNB!$B:$B,PL_Consol!$B22)</f>
        <v>63.518613660906169</v>
      </c>
      <c r="P22" s="118">
        <f>SUM(D22:O22)</f>
        <v>880.14738294674885</v>
      </c>
      <c r="Q22" s="118">
        <v>1209.9732164108577</v>
      </c>
      <c r="R22" s="118">
        <v>703.25</v>
      </c>
      <c r="S22" s="118">
        <f>SUMIFS(PL_Kochi!R:R,PL_Kochi!$B:$B,PL_Consol!$B22)+SUMIFS(PL_Calicut!R:R,PL_Calicut!$B:$B,PL_Consol!$B22)+SUMIFS(PL_FNB!R:R,PL_FNB!$B:$B,PL_Consol!$B22)</f>
        <v>72.019956881602681</v>
      </c>
      <c r="T22" s="122">
        <f>SUMIFS(PL_Kochi!S:S,PL_Kochi!$B:$B,PL_Consol!$B22)+SUMIFS(PL_Calicut!S:S,PL_Calicut!$B:$B,PL_Consol!$B22)+SUMIFS(PL_FNB!S:S,PL_FNB!$B:$B,PL_Consol!$B22)</f>
        <v>51.284600499999996</v>
      </c>
      <c r="U22" s="118">
        <v>17.399999999999999</v>
      </c>
      <c r="V22" s="157">
        <f t="shared" si="1"/>
        <v>-0.11298102978048652</v>
      </c>
      <c r="W22" s="157">
        <f t="shared" si="2"/>
        <v>-0.28791125792661343</v>
      </c>
      <c r="X22" s="149">
        <f t="shared" si="5"/>
        <v>4.1390779817013037</v>
      </c>
    </row>
    <row r="23" spans="2:25" x14ac:dyDescent="0.35">
      <c r="B23" s="126" t="s">
        <v>206</v>
      </c>
      <c r="C23" s="67">
        <v>14</v>
      </c>
      <c r="D23" s="118">
        <f>SUMIFS(PL_Kochi!C:C,PL_Kochi!$B:$B,PL_Consol!$B23)+SUMIFS(PL_Calicut!C:C,PL_Calicut!$B:$B,PL_Consol!$B23)+SUMIFS(PL_FNB!C:C,PL_FNB!$B:$B,PL_Consol!$B23)</f>
        <v>16.78561057649426</v>
      </c>
      <c r="E23" s="118">
        <f>SUMIFS(PL_Kochi!D:D,PL_Kochi!$B:$B,PL_Consol!$B23)+SUMIFS(PL_Calicut!D:D,PL_Calicut!$B:$B,PL_Consol!$B23)+SUMIFS(PL_FNB!D:D,PL_FNB!$B:$B,PL_Consol!$B23)</f>
        <v>18.615196384134961</v>
      </c>
      <c r="F23" s="118">
        <f>SUMIFS(PL_Kochi!E:E,PL_Kochi!$B:$B,PL_Consol!$B23)+SUMIFS(PL_Calicut!E:E,PL_Calicut!$B:$B,PL_Consol!$B23)+SUMIFS(PL_FNB!E:E,PL_FNB!$B:$B,PL_Consol!$B23)</f>
        <v>21.438935758601311</v>
      </c>
      <c r="G23" s="118">
        <f>SUMIFS(PL_Kochi!F:F,PL_Kochi!$B:$B,PL_Consol!$B23)+SUMIFS(PL_Calicut!F:F,PL_Calicut!$B:$B,PL_Consol!$B23)+SUMIFS(PL_FNB!F:F,PL_FNB!$B:$B,PL_Consol!$B23)</f>
        <v>18.376415478387678</v>
      </c>
      <c r="H23" s="118">
        <f>SUMIFS(PL_Kochi!G:G,PL_Kochi!$B:$B,PL_Consol!$B23)+SUMIFS(PL_Calicut!G:G,PL_Calicut!$B:$B,PL_Consol!$B23)+SUMIFS(PL_FNB!G:G,PL_FNB!$B:$B,PL_Consol!$B23)</f>
        <v>26.549781612294268</v>
      </c>
      <c r="I23" s="118">
        <f>SUMIFS(PL_Kochi!H:H,PL_Kochi!$B:$B,PL_Consol!$B23)+SUMIFS(PL_Calicut!H:H,PL_Calicut!$B:$B,PL_Consol!$B23)+SUMIFS(PL_FNB!H:H,PL_FNB!$B:$B,PL_Consol!$B23)</f>
        <v>16.773704102703334</v>
      </c>
      <c r="J23" s="118">
        <f>SUMIFS(PL_Kochi!I:I,PL_Kochi!$B:$B,PL_Consol!$B23)+SUMIFS(PL_Calicut!I:I,PL_Calicut!$B:$B,PL_Consol!$B23)+SUMIFS(PL_FNB!I:I,PL_FNB!$B:$B,PL_Consol!$B23)</f>
        <v>22.790359905106321</v>
      </c>
      <c r="K23" s="118">
        <f>SUMIFS(PL_Kochi!J:J,PL_Kochi!$B:$B,PL_Consol!$B23)+SUMIFS(PL_Calicut!J:J,PL_Calicut!$B:$B,PL_Consol!$B23)+SUMIFS(PL_FNB!J:J,PL_FNB!$B:$B,PL_Consol!$B23)</f>
        <v>9.2216255000901199</v>
      </c>
      <c r="L23" s="118">
        <f>SUMIFS(PL_Kochi!K:K,PL_Kochi!$B:$B,PL_Consol!$B23)+SUMIFS(PL_Calicut!K:K,PL_Calicut!$B:$B,PL_Consol!$B23)+SUMIFS(PL_FNB!K:K,PL_FNB!$B:$B,PL_Consol!$B23)</f>
        <v>37.62773535540385</v>
      </c>
      <c r="M23" s="118">
        <f>SUMIFS(PL_Kochi!L:L,PL_Kochi!$B:$B,PL_Consol!$B23)+SUMIFS(PL_Calicut!L:L,PL_Calicut!$B:$B,PL_Consol!$B23)+SUMIFS(PL_FNB!L:L,PL_FNB!$B:$B,PL_Consol!$B23)</f>
        <v>30.082529655642986</v>
      </c>
      <c r="N23" s="118">
        <f>SUMIFS(PL_Kochi!M:M,PL_Kochi!$B:$B,PL_Consol!$B23)+SUMIFS(PL_Calicut!M:M,PL_Calicut!$B:$B,PL_Consol!$B23)+SUMIFS(PL_FNB!M:M,PL_FNB!$B:$B,PL_Consol!$B23)</f>
        <v>27.391807799603722</v>
      </c>
      <c r="O23" s="118">
        <f>SUMIFS(PL_Kochi!N:N,PL_Kochi!$B:$B,PL_Consol!$B23)+SUMIFS(PL_Calicut!N:N,PL_Calicut!$B:$B,PL_Consol!$B23)+SUMIFS(PL_FNB!N:N,PL_FNB!$B:$B,PL_Consol!$B23)</f>
        <v>22.111633327037527</v>
      </c>
      <c r="P23" s="118">
        <f>SUM(D23:O23)</f>
        <v>267.76533545550035</v>
      </c>
      <c r="Q23" s="118">
        <v>274.993709148768</v>
      </c>
      <c r="R23" s="118">
        <v>237.77</v>
      </c>
      <c r="S23" s="118">
        <f>SUMIFS(PL_Kochi!R:R,PL_Kochi!$B:$B,PL_Consol!$B23)+SUMIFS(PL_Calicut!R:R,PL_Calicut!$B:$B,PL_Consol!$B23)+SUMIFS(PL_FNB!R:R,PL_FNB!$B:$B,PL_Consol!$B23)</f>
        <v>24.101609304345523</v>
      </c>
      <c r="T23" s="122">
        <f>SUMIFS(PL_Kochi!S:S,PL_Kochi!$B:$B,PL_Consol!$B23)+SUMIFS(PL_Calicut!S:S,PL_Calicut!$B:$B,PL_Consol!$B23)+SUMIFS(PL_FNB!S:S,PL_FNB!$B:$B,PL_Consol!$B23)</f>
        <v>29.502020000000002</v>
      </c>
      <c r="U23" s="118">
        <v>136.30000000000001</v>
      </c>
      <c r="V23" s="157">
        <f t="shared" si="1"/>
        <v>0.58483528141252772</v>
      </c>
      <c r="W23" s="157">
        <f t="shared" si="2"/>
        <v>0.22406846893334986</v>
      </c>
      <c r="X23" s="149">
        <f t="shared" si="5"/>
        <v>0.1768276544706201</v>
      </c>
    </row>
    <row r="24" spans="2:25" x14ac:dyDescent="0.35">
      <c r="B24" s="126" t="s">
        <v>288</v>
      </c>
      <c r="C24" s="67">
        <v>15</v>
      </c>
      <c r="D24" s="118">
        <f>SUMIFS(PL_Kochi!C:C,PL_Kochi!$B:$B,PL_Consol!$B24)+SUMIFS(PL_Calicut!C:C,PL_Calicut!$B:$B,PL_Consol!$B24)+SUMIFS(PL_FNB!C:C,PL_FNB!$B:$B,PL_Consol!$B24)</f>
        <v>22.641747171007616</v>
      </c>
      <c r="E24" s="118">
        <f>SUMIFS(PL_Kochi!D:D,PL_Kochi!$B:$B,PL_Consol!$B24)+SUMIFS(PL_Calicut!D:D,PL_Calicut!$B:$B,PL_Consol!$B24)+SUMIFS(PL_FNB!D:D,PL_FNB!$B:$B,PL_Consol!$B24)</f>
        <v>21.421681180314845</v>
      </c>
      <c r="F24" s="118">
        <f>SUMIFS(PL_Kochi!E:E,PL_Kochi!$B:$B,PL_Consol!$B24)+SUMIFS(PL_Calicut!E:E,PL_Calicut!$B:$B,PL_Consol!$B24)+SUMIFS(PL_FNB!E:E,PL_FNB!$B:$B,PL_Consol!$B24)</f>
        <v>24.008922844151549</v>
      </c>
      <c r="G24" s="118">
        <f>SUMIFS(PL_Kochi!F:F,PL_Kochi!$B:$B,PL_Consol!$B24)+SUMIFS(PL_Calicut!F:F,PL_Calicut!$B:$B,PL_Consol!$B24)+SUMIFS(PL_FNB!F:F,PL_FNB!$B:$B,PL_Consol!$B24)</f>
        <v>16.95131237067945</v>
      </c>
      <c r="H24" s="118">
        <f>SUMIFS(PL_Kochi!G:G,PL_Kochi!$B:$B,PL_Consol!$B24)+SUMIFS(PL_Calicut!G:G,PL_Calicut!$B:$B,PL_Consol!$B24)+SUMIFS(PL_FNB!G:G,PL_FNB!$B:$B,PL_Consol!$B24)</f>
        <v>26.720003871923591</v>
      </c>
      <c r="I24" s="118">
        <f>SUMIFS(PL_Kochi!H:H,PL_Kochi!$B:$B,PL_Consol!$B24)+SUMIFS(PL_Calicut!H:H,PL_Calicut!$B:$B,PL_Consol!$B24)+SUMIFS(PL_FNB!H:H,PL_FNB!$B:$B,PL_Consol!$B24)</f>
        <v>26.464045063141889</v>
      </c>
      <c r="J24" s="118">
        <f>SUMIFS(PL_Kochi!I:I,PL_Kochi!$B:$B,PL_Consol!$B24)+SUMIFS(PL_Calicut!I:I,PL_Calicut!$B:$B,PL_Consol!$B24)+SUMIFS(PL_FNB!I:I,PL_FNB!$B:$B,PL_Consol!$B24)</f>
        <v>21.325308061427926</v>
      </c>
      <c r="K24" s="118">
        <f>SUMIFS(PL_Kochi!J:J,PL_Kochi!$B:$B,PL_Consol!$B24)+SUMIFS(PL_Calicut!J:J,PL_Calicut!$B:$B,PL_Consol!$B24)+SUMIFS(PL_FNB!J:J,PL_FNB!$B:$B,PL_Consol!$B24)</f>
        <v>21.235651492684877</v>
      </c>
      <c r="L24" s="118">
        <f>SUMIFS(PL_Kochi!K:K,PL_Kochi!$B:$B,PL_Consol!$B24)+SUMIFS(PL_Calicut!K:K,PL_Calicut!$B:$B,PL_Consol!$B24)+SUMIFS(PL_FNB!K:K,PL_FNB!$B:$B,PL_Consol!$B24)</f>
        <v>24.573338335662019</v>
      </c>
      <c r="M24" s="118">
        <f>SUMIFS(PL_Kochi!L:L,PL_Kochi!$B:$B,PL_Consol!$B24)+SUMIFS(PL_Calicut!L:L,PL_Calicut!$B:$B,PL_Consol!$B24)+SUMIFS(PL_FNB!L:L,PL_FNB!$B:$B,PL_Consol!$B24)</f>
        <v>23.386037853135502</v>
      </c>
      <c r="N24" s="118">
        <f>SUMIFS(PL_Kochi!M:M,PL_Kochi!$B:$B,PL_Consol!$B24)+SUMIFS(PL_Calicut!M:M,PL_Calicut!$B:$B,PL_Consol!$B24)+SUMIFS(PL_FNB!M:M,PL_FNB!$B:$B,PL_Consol!$B24)</f>
        <v>23.189508139186554</v>
      </c>
      <c r="O24" s="118">
        <f>SUMIFS(PL_Kochi!N:N,PL_Kochi!$B:$B,PL_Consol!$B24)+SUMIFS(PL_Calicut!N:N,PL_Calicut!$B:$B,PL_Consol!$B24)+SUMIFS(PL_FNB!N:N,PL_FNB!$B:$B,PL_Consol!$B24)</f>
        <v>31.523177505290374</v>
      </c>
      <c r="P24" s="118">
        <f t="shared" si="9"/>
        <v>283.44073388860619</v>
      </c>
      <c r="Q24" s="118">
        <v>180</v>
      </c>
      <c r="R24" s="118">
        <v>178.89</v>
      </c>
      <c r="S24" s="118">
        <f>SUMIFS(PL_Kochi!R:R,PL_Kochi!$B:$B,PL_Consol!$B24)+SUMIFS(PL_Calicut!R:R,PL_Calicut!$B:$B,PL_Consol!$B24)+SUMIFS(PL_FNB!R:R,PL_FNB!$B:$B,PL_Consol!$B24)</f>
        <v>22.681989780299475</v>
      </c>
      <c r="T24" s="122">
        <f>SUMIFS(PL_Kochi!S:S,PL_Kochi!$B:$B,PL_Consol!$B24)+SUMIFS(PL_Calicut!S:S,PL_Calicut!$B:$B,PL_Consol!$B24)+SUMIFS(PL_FNB!S:S,PL_FNB!$B:$B,PL_Consol!$B24)</f>
        <v>23.088840000000005</v>
      </c>
      <c r="U24" s="118">
        <v>98.7</v>
      </c>
      <c r="V24" s="157">
        <f t="shared" si="1"/>
        <v>7.7825769399330502E-2</v>
      </c>
      <c r="W24" s="157">
        <f t="shared" si="2"/>
        <v>1.7937148532440439E-2</v>
      </c>
      <c r="X24" s="149">
        <f t="shared" si="5"/>
        <v>0.22980739392400681</v>
      </c>
    </row>
    <row r="25" spans="2:25" x14ac:dyDescent="0.35">
      <c r="B25" s="126" t="s">
        <v>534</v>
      </c>
      <c r="C25" s="67">
        <v>16</v>
      </c>
      <c r="D25" s="118">
        <f>SUMIFS(PL_Kochi!C:C,PL_Kochi!$B:$B,PL_Consol!$B25)+SUMIFS(PL_Calicut!C:C,PL_Calicut!$B:$B,PL_Consol!$B25)+SUMIFS(PL_FNB!C:C,PL_FNB!$B:$B,PL_Consol!$B25)</f>
        <v>66.117027815341388</v>
      </c>
      <c r="E25" s="118">
        <f>SUMIFS(PL_Kochi!D:D,PL_Kochi!$B:$B,PL_Consol!$B25)+SUMIFS(PL_Calicut!D:D,PL_Calicut!$B:$B,PL_Consol!$B25)+SUMIFS(PL_FNB!D:D,PL_FNB!$B:$B,PL_Consol!$B25)</f>
        <v>71.893893514275149</v>
      </c>
      <c r="F25" s="118">
        <f>SUMIFS(PL_Kochi!E:E,PL_Kochi!$B:$B,PL_Consol!$B25)+SUMIFS(PL_Calicut!E:E,PL_Calicut!$B:$B,PL_Consol!$B25)+SUMIFS(PL_FNB!E:E,PL_FNB!$B:$B,PL_Consol!$B25)</f>
        <v>78.735923806802688</v>
      </c>
      <c r="G25" s="118">
        <f>SUMIFS(PL_Kochi!F:F,PL_Kochi!$B:$B,PL_Consol!$B25)+SUMIFS(PL_Calicut!F:F,PL_Calicut!$B:$B,PL_Consol!$B25)+SUMIFS(PL_FNB!F:F,PL_FNB!$B:$B,PL_Consol!$B25)</f>
        <v>74.499295378052565</v>
      </c>
      <c r="H25" s="118">
        <f>SUMIFS(PL_Kochi!G:G,PL_Kochi!$B:$B,PL_Consol!$B25)+SUMIFS(PL_Calicut!G:G,PL_Calicut!$B:$B,PL_Consol!$B25)+SUMIFS(PL_FNB!G:G,PL_FNB!$B:$B,PL_Consol!$B25)</f>
        <v>67.888812674455551</v>
      </c>
      <c r="I25" s="118">
        <f>SUMIFS(PL_Kochi!H:H,PL_Kochi!$B:$B,PL_Consol!$B25)+SUMIFS(PL_Calicut!H:H,PL_Calicut!$B:$B,PL_Consol!$B25)+SUMIFS(PL_FNB!H:H,PL_FNB!$B:$B,PL_Consol!$B25)</f>
        <v>75.070653929942935</v>
      </c>
      <c r="J25" s="118">
        <f>SUMIFS(PL_Kochi!I:I,PL_Kochi!$B:$B,PL_Consol!$B25)+SUMIFS(PL_Calicut!I:I,PL_Calicut!$B:$B,PL_Consol!$B25)+SUMIFS(PL_FNB!I:I,PL_FNB!$B:$B,PL_Consol!$B25)</f>
        <v>88.145986730318157</v>
      </c>
      <c r="K25" s="118">
        <f>SUMIFS(PL_Kochi!J:J,PL_Kochi!$B:$B,PL_Consol!$B25)+SUMIFS(PL_Calicut!J:J,PL_Calicut!$B:$B,PL_Consol!$B25)+SUMIFS(PL_FNB!J:J,PL_FNB!$B:$B,PL_Consol!$B25)</f>
        <v>63.493010777556712</v>
      </c>
      <c r="L25" s="118">
        <f>SUMIFS(PL_Kochi!K:K,PL_Kochi!$B:$B,PL_Consol!$B25)+SUMIFS(PL_Calicut!K:K,PL_Calicut!$B:$B,PL_Consol!$B25)+SUMIFS(PL_FNB!K:K,PL_FNB!$B:$B,PL_Consol!$B25)</f>
        <v>68.196841477075267</v>
      </c>
      <c r="M25" s="118">
        <f>SUMIFS(PL_Kochi!L:L,PL_Kochi!$B:$B,PL_Consol!$B25)+SUMIFS(PL_Calicut!L:L,PL_Calicut!$B:$B,PL_Consol!$B25)+SUMIFS(PL_FNB!L:L,PL_FNB!$B:$B,PL_Consol!$B25)</f>
        <v>49.505650439017202</v>
      </c>
      <c r="N25" s="118">
        <f>SUMIFS(PL_Kochi!M:M,PL_Kochi!$B:$B,PL_Consol!$B25)+SUMIFS(PL_Calicut!M:M,PL_Calicut!$B:$B,PL_Consol!$B25)+SUMIFS(PL_FNB!M:M,PL_FNB!$B:$B,PL_Consol!$B25)</f>
        <v>120.95571193153455</v>
      </c>
      <c r="O25" s="118">
        <f>SUMIFS(PL_Kochi!N:N,PL_Kochi!$B:$B,PL_Consol!$B25)+SUMIFS(PL_Calicut!N:N,PL_Calicut!$B:$B,PL_Consol!$B25)+SUMIFS(PL_FNB!N:N,PL_FNB!$B:$B,PL_Consol!$B25)</f>
        <v>183.70152763218084</v>
      </c>
      <c r="P25" s="118">
        <f>SUM(D25:O25)</f>
        <v>1008.2043361065531</v>
      </c>
      <c r="Q25" s="118">
        <v>926.03153196479957</v>
      </c>
      <c r="R25" s="118">
        <v>1028.68</v>
      </c>
      <c r="S25" s="118">
        <f>SUMIFS(PL_Kochi!R:R,PL_Kochi!$B:$B,PL_Consol!$B25)+SUMIFS(PL_Calicut!R:R,PL_Calicut!$B:$B,PL_Consol!$B25)+SUMIFS(PL_FNB!R:R,PL_FNB!$B:$B,PL_Consol!$B25)</f>
        <v>89.327924645820104</v>
      </c>
      <c r="T25" s="122">
        <f>SUMIFS(PL_Kochi!S:S,PL_Kochi!$B:$B,PL_Consol!$B25)+SUMIFS(PL_Calicut!S:S,PL_Calicut!$B:$B,PL_Consol!$B25)+SUMIFS(PL_FNB!S:S,PL_FNB!$B:$B,PL_Consol!$B25)</f>
        <v>114.0598181</v>
      </c>
      <c r="U25" s="118">
        <v>30.7</v>
      </c>
      <c r="V25" s="157">
        <f t="shared" si="1"/>
        <v>0.58650217041524466</v>
      </c>
      <c r="W25" s="157">
        <f t="shared" si="2"/>
        <v>0.27686631646532001</v>
      </c>
      <c r="X25" s="149">
        <f t="shared" si="5"/>
        <v>2.9097043858573324</v>
      </c>
    </row>
    <row r="26" spans="2:25" x14ac:dyDescent="0.35">
      <c r="B26" s="126" t="s">
        <v>535</v>
      </c>
      <c r="C26" s="67">
        <v>17</v>
      </c>
      <c r="D26" s="118">
        <f>SUMIFS(PL_Kochi!C:C,PL_Kochi!$B:$B,PL_Consol!$B26)+SUMIFS(PL_Calicut!C:C,PL_Calicut!$B:$B,PL_Consol!$B26)+SUMIFS(PL_FNB!C:C,PL_FNB!$B:$B,PL_Consol!$B26)</f>
        <v>20.799116968487517</v>
      </c>
      <c r="E26" s="118">
        <f>SUMIFS(PL_Kochi!D:D,PL_Kochi!$B:$B,PL_Consol!$B26)+SUMIFS(PL_Calicut!D:D,PL_Calicut!$B:$B,PL_Consol!$B26)+SUMIFS(PL_FNB!D:D,PL_FNB!$B:$B,PL_Consol!$B26)</f>
        <v>23.636231389631419</v>
      </c>
      <c r="F26" s="118">
        <f>SUMIFS(PL_Kochi!E:E,PL_Kochi!$B:$B,PL_Consol!$B26)+SUMIFS(PL_Calicut!E:E,PL_Calicut!$B:$B,PL_Consol!$B26)+SUMIFS(PL_FNB!E:E,PL_FNB!$B:$B,PL_Consol!$B26)</f>
        <v>23.635804068744935</v>
      </c>
      <c r="G26" s="118">
        <f>SUMIFS(PL_Kochi!F:F,PL_Kochi!$B:$B,PL_Consol!$B26)+SUMIFS(PL_Calicut!F:F,PL_Calicut!$B:$B,PL_Consol!$B26)+SUMIFS(PL_FNB!F:F,PL_FNB!$B:$B,PL_Consol!$B26)</f>
        <v>23.342054896796956</v>
      </c>
      <c r="H26" s="118">
        <f>SUMIFS(PL_Kochi!G:G,PL_Kochi!$B:$B,PL_Consol!$B26)+SUMIFS(PL_Calicut!G:G,PL_Calicut!$B:$B,PL_Consol!$B26)+SUMIFS(PL_FNB!G:G,PL_FNB!$B:$B,PL_Consol!$B26)</f>
        <v>19.828358136224747</v>
      </c>
      <c r="I26" s="118">
        <f>SUMIFS(PL_Kochi!H:H,PL_Kochi!$B:$B,PL_Consol!$B26)+SUMIFS(PL_Calicut!H:H,PL_Calicut!$B:$B,PL_Consol!$B26)+SUMIFS(PL_FNB!H:H,PL_FNB!$B:$B,PL_Consol!$B26)</f>
        <v>19.054741636342797</v>
      </c>
      <c r="J26" s="118">
        <f>SUMIFS(PL_Kochi!I:I,PL_Kochi!$B:$B,PL_Consol!$B26)+SUMIFS(PL_Calicut!I:I,PL_Calicut!$B:$B,PL_Consol!$B26)+SUMIFS(PL_FNB!I:I,PL_FNB!$B:$B,PL_Consol!$B26)</f>
        <v>25.530816892505545</v>
      </c>
      <c r="K26" s="118">
        <f>SUMIFS(PL_Kochi!J:J,PL_Kochi!$B:$B,PL_Consol!$B26)+SUMIFS(PL_Calicut!J:J,PL_Calicut!$B:$B,PL_Consol!$B26)+SUMIFS(PL_FNB!J:J,PL_FNB!$B:$B,PL_Consol!$B26)</f>
        <v>21.061224559423824</v>
      </c>
      <c r="L26" s="118">
        <f>SUMIFS(PL_Kochi!K:K,PL_Kochi!$B:$B,PL_Consol!$B26)+SUMIFS(PL_Calicut!K:K,PL_Calicut!$B:$B,PL_Consol!$B26)+SUMIFS(PL_FNB!K:K,PL_FNB!$B:$B,PL_Consol!$B26)</f>
        <v>21.39337083339225</v>
      </c>
      <c r="M26" s="118">
        <f>SUMIFS(PL_Kochi!L:L,PL_Kochi!$B:$B,PL_Consol!$B26)+SUMIFS(PL_Calicut!L:L,PL_Calicut!$B:$B,PL_Consol!$B26)+SUMIFS(PL_FNB!L:L,PL_FNB!$B:$B,PL_Consol!$B26)</f>
        <v>22.63151807749513</v>
      </c>
      <c r="N26" s="118">
        <f>SUMIFS(PL_Kochi!M:M,PL_Kochi!$B:$B,PL_Consol!$B26)+SUMIFS(PL_Calicut!M:M,PL_Calicut!$B:$B,PL_Consol!$B26)+SUMIFS(PL_FNB!M:M,PL_FNB!$B:$B,PL_Consol!$B26)</f>
        <v>21.13867478307542</v>
      </c>
      <c r="O26" s="118">
        <f>SUMIFS(PL_Kochi!N:N,PL_Kochi!$B:$B,PL_Consol!$B26)+SUMIFS(PL_Calicut!N:N,PL_Calicut!$B:$B,PL_Consol!$B26)+SUMIFS(PL_FNB!N:N,PL_FNB!$B:$B,PL_Consol!$B26)</f>
        <v>23.288502431805583</v>
      </c>
      <c r="P26" s="118">
        <f>SUM(D26:O26)</f>
        <v>265.34041467392615</v>
      </c>
      <c r="Q26" s="118">
        <v>241.48541902543337</v>
      </c>
      <c r="R26" s="118">
        <v>227.63</v>
      </c>
      <c r="S26" s="118">
        <f>SUMIFS(PL_Kochi!R:R,PL_Kochi!$B:$B,PL_Consol!$B26)+SUMIFS(PL_Calicut!R:R,PL_Calicut!$B:$B,PL_Consol!$B26)+SUMIFS(PL_FNB!R:R,PL_FNB!$B:$B,PL_Consol!$B26)</f>
        <v>24.095347500798489</v>
      </c>
      <c r="T26" s="122">
        <f>SUMIFS(PL_Kochi!S:S,PL_Kochi!$B:$B,PL_Consol!$B26)+SUMIFS(PL_Calicut!S:S,PL_Calicut!$B:$B,PL_Consol!$B26)+SUMIFS(PL_FNB!S:S,PL_FNB!$B:$B,PL_Consol!$B26)</f>
        <v>18.78792</v>
      </c>
      <c r="U26" s="118">
        <v>17.2</v>
      </c>
      <c r="V26" s="157">
        <f t="shared" si="1"/>
        <v>-0.20512201415316333</v>
      </c>
      <c r="W26" s="157">
        <f t="shared" si="2"/>
        <v>-0.22026773013431777</v>
      </c>
      <c r="X26" s="149">
        <f t="shared" si="5"/>
        <v>1.4008922965580517</v>
      </c>
    </row>
    <row r="27" spans="2:25" x14ac:dyDescent="0.35">
      <c r="B27" s="126" t="s">
        <v>310</v>
      </c>
      <c r="C27" s="67">
        <v>18</v>
      </c>
      <c r="D27" s="118">
        <f>SUMIFS(PL_Kochi!C:C,PL_Kochi!$B:$B,PL_Consol!$B27)+SUMIFS(PL_Calicut!C:C,PL_Calicut!$B:$B,PL_Consol!$B27)+SUMIFS(PL_FNB!C:C,PL_FNB!$B:$B,PL_Consol!$B27)</f>
        <v>11.416728076554948</v>
      </c>
      <c r="E27" s="118">
        <f>SUMIFS(PL_Kochi!D:D,PL_Kochi!$B:$B,PL_Consol!$B27)+SUMIFS(PL_Calicut!D:D,PL_Calicut!$B:$B,PL_Consol!$B27)+SUMIFS(PL_FNB!D:D,PL_FNB!$B:$B,PL_Consol!$B27)</f>
        <v>17.394012249246398</v>
      </c>
      <c r="F27" s="118">
        <f>SUMIFS(PL_Kochi!E:E,PL_Kochi!$B:$B,PL_Consol!$B27)+SUMIFS(PL_Calicut!E:E,PL_Calicut!$B:$B,PL_Consol!$B27)+SUMIFS(PL_FNB!E:E,PL_FNB!$B:$B,PL_Consol!$B27)</f>
        <v>13.51807744576926</v>
      </c>
      <c r="G27" s="118">
        <f>SUMIFS(PL_Kochi!F:F,PL_Kochi!$B:$B,PL_Consol!$B27)+SUMIFS(PL_Calicut!F:F,PL_Calicut!$B:$B,PL_Consol!$B27)+SUMIFS(PL_FNB!F:F,PL_FNB!$B:$B,PL_Consol!$B27)</f>
        <v>16.703076148543218</v>
      </c>
      <c r="H27" s="118">
        <f>SUMIFS(PL_Kochi!G:G,PL_Kochi!$B:$B,PL_Consol!$B27)+SUMIFS(PL_Calicut!G:G,PL_Calicut!$B:$B,PL_Consol!$B27)+SUMIFS(PL_FNB!G:G,PL_FNB!$B:$B,PL_Consol!$B27)</f>
        <v>13.93321141700525</v>
      </c>
      <c r="I27" s="118">
        <f>SUMIFS(PL_Kochi!H:H,PL_Kochi!$B:$B,PL_Consol!$B27)+SUMIFS(PL_Calicut!H:H,PL_Calicut!$B:$B,PL_Consol!$B27)+SUMIFS(PL_FNB!H:H,PL_FNB!$B:$B,PL_Consol!$B27)</f>
        <v>14.397720998756522</v>
      </c>
      <c r="J27" s="118">
        <f>SUMIFS(PL_Kochi!I:I,PL_Kochi!$B:$B,PL_Consol!$B27)+SUMIFS(PL_Calicut!I:I,PL_Calicut!$B:$B,PL_Consol!$B27)+SUMIFS(PL_FNB!I:I,PL_FNB!$B:$B,PL_Consol!$B27)</f>
        <v>18.095623285113891</v>
      </c>
      <c r="K27" s="118">
        <f>SUMIFS(PL_Kochi!J:J,PL_Kochi!$B:$B,PL_Consol!$B27)+SUMIFS(PL_Calicut!J:J,PL_Calicut!$B:$B,PL_Consol!$B27)+SUMIFS(PL_FNB!J:J,PL_FNB!$B:$B,PL_Consol!$B27)</f>
        <v>11.643462490547751</v>
      </c>
      <c r="L27" s="118">
        <f>SUMIFS(PL_Kochi!K:K,PL_Kochi!$B:$B,PL_Consol!$B27)+SUMIFS(PL_Calicut!K:K,PL_Calicut!$B:$B,PL_Consol!$B27)+SUMIFS(PL_FNB!K:K,PL_FNB!$B:$B,PL_Consol!$B27)</f>
        <v>13.987179188266232</v>
      </c>
      <c r="M27" s="118">
        <f>SUMIFS(PL_Kochi!L:L,PL_Kochi!$B:$B,PL_Consol!$B27)+SUMIFS(PL_Calicut!L:L,PL_Calicut!$B:$B,PL_Consol!$B27)+SUMIFS(PL_FNB!L:L,PL_FNB!$B:$B,PL_Consol!$B27)</f>
        <v>14.229374130916613</v>
      </c>
      <c r="N27" s="118">
        <f>SUMIFS(PL_Kochi!M:M,PL_Kochi!$B:$B,PL_Consol!$B27)+SUMIFS(PL_Calicut!M:M,PL_Calicut!$B:$B,PL_Consol!$B27)+SUMIFS(PL_FNB!M:M,PL_FNB!$B:$B,PL_Consol!$B27)</f>
        <v>18.054122267378528</v>
      </c>
      <c r="O27" s="118">
        <f>SUMIFS(PL_Kochi!N:N,PL_Kochi!$B:$B,PL_Consol!$B27)+SUMIFS(PL_Calicut!N:N,PL_Calicut!$B:$B,PL_Consol!$B27)+SUMIFS(PL_FNB!N:N,PL_FNB!$B:$B,PL_Consol!$B27)</f>
        <v>19.449987899012545</v>
      </c>
      <c r="P27" s="118">
        <f>SUM(D27:O27)</f>
        <v>182.82257559711115</v>
      </c>
      <c r="Q27" s="118">
        <v>180</v>
      </c>
      <c r="R27" s="118">
        <v>167.97</v>
      </c>
      <c r="S27" s="118">
        <f>SUMIFS(PL_Kochi!R:R,PL_Kochi!$B:$B,PL_Consol!$B27)+SUMIFS(PL_Calicut!R:R,PL_Calicut!$B:$B,PL_Consol!$B27)+SUMIFS(PL_FNB!R:R,PL_FNB!$B:$B,PL_Consol!$B27)</f>
        <v>18.924059491519611</v>
      </c>
      <c r="T27" s="122">
        <f>SUMIFS(PL_Kochi!S:S,PL_Kochi!$B:$B,PL_Consol!$B27)+SUMIFS(PL_Calicut!S:S,PL_Calicut!$B:$B,PL_Consol!$B27)+SUMIFS(PL_FNB!S:S,PL_FNB!$B:$B,PL_Consol!$B27)</f>
        <v>17.974497</v>
      </c>
      <c r="U27" s="118">
        <v>3</v>
      </c>
      <c r="V27" s="157">
        <f t="shared" si="1"/>
        <v>3.3372676897979625E-2</v>
      </c>
      <c r="W27" s="157">
        <f t="shared" si="2"/>
        <v>-5.0177526230306801E-2</v>
      </c>
      <c r="X27" s="149">
        <f t="shared" si="5"/>
        <v>6.3080198305065371</v>
      </c>
    </row>
    <row r="28" spans="2:25" x14ac:dyDescent="0.35">
      <c r="B28" s="126" t="s">
        <v>207</v>
      </c>
      <c r="C28" s="67">
        <v>19</v>
      </c>
      <c r="D28" s="118">
        <f>SUMIFS(PL_Kochi!C:C,PL_Kochi!$B:$B,PL_Consol!$B28)+SUMIFS(PL_Calicut!C:C,PL_Calicut!$B:$B,PL_Consol!$B28)+SUMIFS(PL_FNB!C:C,PL_FNB!$B:$B,PL_Consol!$B28)</f>
        <v>2.2859503233985592</v>
      </c>
      <c r="E28" s="118">
        <f>SUMIFS(PL_Kochi!D:D,PL_Kochi!$B:$B,PL_Consol!$B28)+SUMIFS(PL_Calicut!D:D,PL_Calicut!$B:$B,PL_Consol!$B28)+SUMIFS(PL_FNB!D:D,PL_FNB!$B:$B,PL_Consol!$B28)</f>
        <v>2.3843483655676008</v>
      </c>
      <c r="F28" s="118">
        <f>SUMIFS(PL_Kochi!E:E,PL_Kochi!$B:$B,PL_Consol!$B28)+SUMIFS(PL_Calicut!E:E,PL_Calicut!$B:$B,PL_Consol!$B28)+SUMIFS(PL_FNB!E:E,PL_FNB!$B:$B,PL_Consol!$B28)</f>
        <v>1.9492875207895883</v>
      </c>
      <c r="G28" s="118">
        <f>SUMIFS(PL_Kochi!F:F,PL_Kochi!$B:$B,PL_Consol!$B28)+SUMIFS(PL_Calicut!F:F,PL_Calicut!$B:$B,PL_Consol!$B28)+SUMIFS(PL_FNB!F:F,PL_FNB!$B:$B,PL_Consol!$B28)</f>
        <v>1.8451045481661366</v>
      </c>
      <c r="H28" s="118">
        <f>SUMIFS(PL_Kochi!G:G,PL_Kochi!$B:$B,PL_Consol!$B28)+SUMIFS(PL_Calicut!G:G,PL_Calicut!$B:$B,PL_Consol!$B28)+SUMIFS(PL_FNB!G:G,PL_FNB!$B:$B,PL_Consol!$B28)</f>
        <v>2.6315040591396262</v>
      </c>
      <c r="I28" s="118">
        <f>SUMIFS(PL_Kochi!H:H,PL_Kochi!$B:$B,PL_Consol!$B28)+SUMIFS(PL_Calicut!H:H,PL_Calicut!$B:$B,PL_Consol!$B28)+SUMIFS(PL_FNB!H:H,PL_FNB!$B:$B,PL_Consol!$B28)</f>
        <v>3.4189800267426413</v>
      </c>
      <c r="J28" s="118">
        <f>SUMIFS(PL_Kochi!I:I,PL_Kochi!$B:$B,PL_Consol!$B28)+SUMIFS(PL_Calicut!I:I,PL_Calicut!$B:$B,PL_Consol!$B28)+SUMIFS(PL_FNB!I:I,PL_FNB!$B:$B,PL_Consol!$B28)</f>
        <v>2.6836979303033899</v>
      </c>
      <c r="K28" s="118">
        <f>SUMIFS(PL_Kochi!J:J,PL_Kochi!$B:$B,PL_Consol!$B28)+SUMIFS(PL_Calicut!J:J,PL_Calicut!$B:$B,PL_Consol!$B28)+SUMIFS(PL_FNB!J:J,PL_FNB!$B:$B,PL_Consol!$B28)</f>
        <v>2.9104055611050121</v>
      </c>
      <c r="L28" s="118">
        <f>SUMIFS(PL_Kochi!K:K,PL_Kochi!$B:$B,PL_Consol!$B28)+SUMIFS(PL_Calicut!K:K,PL_Calicut!$B:$B,PL_Consol!$B28)+SUMIFS(PL_FNB!K:K,PL_FNB!$B:$B,PL_Consol!$B28)</f>
        <v>3.128370461378986</v>
      </c>
      <c r="M28" s="118">
        <f>SUMIFS(PL_Kochi!L:L,PL_Kochi!$B:$B,PL_Consol!$B28)+SUMIFS(PL_Calicut!L:L,PL_Calicut!$B:$B,PL_Consol!$B28)+SUMIFS(PL_FNB!L:L,PL_FNB!$B:$B,PL_Consol!$B28)</f>
        <v>2.6990205745012332</v>
      </c>
      <c r="N28" s="118">
        <f>SUMIFS(PL_Kochi!M:M,PL_Kochi!$B:$B,PL_Consol!$B28)+SUMIFS(PL_Calicut!M:M,PL_Calicut!$B:$B,PL_Consol!$B28)+SUMIFS(PL_FNB!M:M,PL_FNB!$B:$B,PL_Consol!$B28)</f>
        <v>2.8924162964675078</v>
      </c>
      <c r="O28" s="118">
        <f>SUMIFS(PL_Kochi!N:N,PL_Kochi!$B:$B,PL_Consol!$B28)+SUMIFS(PL_Calicut!N:N,PL_Calicut!$B:$B,PL_Consol!$B28)+SUMIFS(PL_FNB!N:N,PL_FNB!$B:$B,PL_Consol!$B28)</f>
        <v>3.1997823402397367</v>
      </c>
      <c r="P28" s="118">
        <f t="shared" si="9"/>
        <v>32.028868007800021</v>
      </c>
      <c r="Q28" s="118">
        <v>32</v>
      </c>
      <c r="R28" s="118">
        <v>22.78</v>
      </c>
      <c r="S28" s="118">
        <f>SUMIFS(PL_Kochi!R:R,PL_Kochi!$B:$B,PL_Consol!$B28)+SUMIFS(PL_Calicut!R:R,PL_Calicut!$B:$B,PL_Consol!$B28)+SUMIFS(PL_FNB!R:R,PL_FNB!$B:$B,PL_Consol!$B28)</f>
        <v>3.034846335996177</v>
      </c>
      <c r="T28" s="122">
        <f>SUMIFS(PL_Kochi!S:S,PL_Kochi!$B:$B,PL_Consol!$B28)+SUMIFS(PL_Calicut!S:S,PL_Calicut!$B:$B,PL_Consol!$B28)+SUMIFS(PL_FNB!S:S,PL_FNB!$B:$B,PL_Consol!$B28)</f>
        <v>3.2895820000000002</v>
      </c>
      <c r="U28" s="118">
        <v>4.2</v>
      </c>
      <c r="V28" s="157">
        <f t="shared" si="1"/>
        <v>0.3796566170887139</v>
      </c>
      <c r="W28" s="157">
        <f t="shared" si="2"/>
        <v>8.3936923257831753E-2</v>
      </c>
      <c r="X28" s="149">
        <f t="shared" si="5"/>
        <v>0.72258246095147072</v>
      </c>
    </row>
    <row r="29" spans="2:25" x14ac:dyDescent="0.35">
      <c r="B29" s="126" t="s">
        <v>301</v>
      </c>
      <c r="C29" s="67">
        <v>20</v>
      </c>
      <c r="D29" s="118">
        <f>SUMIFS(PL_Kochi!C:C,PL_Kochi!$B:$B,PL_Consol!$B29)+SUMIFS(PL_Calicut!C:C,PL_Calicut!$B:$B,PL_Consol!$B29)+SUMIFS(PL_FNB!C:C,PL_FNB!$B:$B,PL_Consol!$B29)</f>
        <v>3.4180010154973082</v>
      </c>
      <c r="E29" s="118">
        <f>SUMIFS(PL_Kochi!D:D,PL_Kochi!$B:$B,PL_Consol!$B29)+SUMIFS(PL_Calicut!D:D,PL_Calicut!$B:$B,PL_Consol!$B29)+SUMIFS(PL_FNB!D:D,PL_FNB!$B:$B,PL_Consol!$B29)</f>
        <v>5.8852078227851194</v>
      </c>
      <c r="F29" s="118">
        <f>SUMIFS(PL_Kochi!E:E,PL_Kochi!$B:$B,PL_Consol!$B29)+SUMIFS(PL_Calicut!E:E,PL_Calicut!$B:$B,PL_Consol!$B29)+SUMIFS(PL_FNB!E:E,PL_FNB!$B:$B,PL_Consol!$B29)</f>
        <v>4.4317837305491103</v>
      </c>
      <c r="G29" s="118">
        <f>SUMIFS(PL_Kochi!F:F,PL_Kochi!$B:$B,PL_Consol!$B29)+SUMIFS(PL_Calicut!F:F,PL_Calicut!$B:$B,PL_Consol!$B29)+SUMIFS(PL_FNB!F:F,PL_FNB!$B:$B,PL_Consol!$B29)</f>
        <v>6.0820150930414707</v>
      </c>
      <c r="H29" s="118">
        <f>SUMIFS(PL_Kochi!G:G,PL_Kochi!$B:$B,PL_Consol!$B29)+SUMIFS(PL_Calicut!G:G,PL_Calicut!$B:$B,PL_Consol!$B29)+SUMIFS(PL_FNB!G:G,PL_FNB!$B:$B,PL_Consol!$B29)</f>
        <v>2.9840802080536695</v>
      </c>
      <c r="I29" s="118">
        <f>SUMIFS(PL_Kochi!H:H,PL_Kochi!$B:$B,PL_Consol!$B29)+SUMIFS(PL_Calicut!H:H,PL_Calicut!$B:$B,PL_Consol!$B29)+SUMIFS(PL_FNB!H:H,PL_FNB!$B:$B,PL_Consol!$B29)</f>
        <v>1.6165648508861328</v>
      </c>
      <c r="J29" s="118">
        <f>SUMIFS(PL_Kochi!I:I,PL_Kochi!$B:$B,PL_Consol!$B29)+SUMIFS(PL_Calicut!I:I,PL_Calicut!$B:$B,PL_Consol!$B29)+SUMIFS(PL_FNB!I:I,PL_FNB!$B:$B,PL_Consol!$B29)</f>
        <v>9.4522666894225775</v>
      </c>
      <c r="K29" s="118">
        <f>SUMIFS(PL_Kochi!J:J,PL_Kochi!$B:$B,PL_Consol!$B29)+SUMIFS(PL_Calicut!J:J,PL_Calicut!$B:$B,PL_Consol!$B29)+SUMIFS(PL_FNB!J:J,PL_FNB!$B:$B,PL_Consol!$B29)</f>
        <v>1.6918608949041094</v>
      </c>
      <c r="L29" s="118">
        <f>SUMIFS(PL_Kochi!K:K,PL_Kochi!$B:$B,PL_Consol!$B29)+SUMIFS(PL_Calicut!K:K,PL_Calicut!$B:$B,PL_Consol!$B29)+SUMIFS(PL_FNB!K:K,PL_FNB!$B:$B,PL_Consol!$B29)</f>
        <v>2.1951295771703538</v>
      </c>
      <c r="M29" s="118">
        <f>SUMIFS(PL_Kochi!L:L,PL_Kochi!$B:$B,PL_Consol!$B29)+SUMIFS(PL_Calicut!L:L,PL_Calicut!$B:$B,PL_Consol!$B29)+SUMIFS(PL_FNB!L:L,PL_FNB!$B:$B,PL_Consol!$B29)</f>
        <v>4.4711003741609741</v>
      </c>
      <c r="N29" s="118">
        <f>SUMIFS(PL_Kochi!M:M,PL_Kochi!$B:$B,PL_Consol!$B29)+SUMIFS(PL_Calicut!M:M,PL_Calicut!$B:$B,PL_Consol!$B29)+SUMIFS(PL_FNB!M:M,PL_FNB!$B:$B,PL_Consol!$B29)</f>
        <v>2.6459960080131069</v>
      </c>
      <c r="O29" s="118">
        <f>SUMIFS(PL_Kochi!N:N,PL_Kochi!$B:$B,PL_Consol!$B29)+SUMIFS(PL_Calicut!N:N,PL_Calicut!$B:$B,PL_Consol!$B29)+SUMIFS(PL_FNB!N:N,PL_FNB!$B:$B,PL_Consol!$B29)</f>
        <v>13.47598180822858</v>
      </c>
      <c r="P29" s="118">
        <f t="shared" si="9"/>
        <v>58.34998807271252</v>
      </c>
      <c r="Q29" s="118">
        <v>59.282147737704008</v>
      </c>
      <c r="R29" s="118">
        <v>62.64</v>
      </c>
      <c r="S29" s="118">
        <f>SUMIFS(PL_Kochi!R:R,PL_Kochi!$B:$B,PL_Consol!$B29)+SUMIFS(PL_Calicut!R:R,PL_Calicut!$B:$B,PL_Consol!$B29)+SUMIFS(PL_FNB!R:R,PL_FNB!$B:$B,PL_Consol!$B29)</f>
        <v>1.3110250344228338</v>
      </c>
      <c r="T29" s="122">
        <f>SUMIFS(PL_Kochi!S:S,PL_Kochi!$B:$B,PL_Consol!$B29)+SUMIFS(PL_Calicut!S:S,PL_Calicut!$B:$B,PL_Consol!$B29)+SUMIFS(PL_FNB!S:S,PL_FNB!$B:$B,PL_Consol!$B29)</f>
        <v>1.3302862999999998</v>
      </c>
      <c r="U29" s="118">
        <v>14.4</v>
      </c>
      <c r="V29" s="157">
        <f t="shared" si="1"/>
        <v>-0.77396103246351389</v>
      </c>
      <c r="W29" s="157">
        <f t="shared" si="2"/>
        <v>1.4691760318402691E-2</v>
      </c>
      <c r="X29" s="149">
        <f t="shared" si="5"/>
        <v>9.104340516825235E-2</v>
      </c>
    </row>
    <row r="30" spans="2:25" x14ac:dyDescent="0.35">
      <c r="B30" s="126" t="s">
        <v>302</v>
      </c>
      <c r="C30" s="67">
        <v>21</v>
      </c>
      <c r="D30" s="118">
        <f>SUMIFS(PL_Kochi!C:C,PL_Kochi!$B:$B,PL_Consol!$B30)+SUMIFS(PL_Calicut!C:C,PL_Calicut!$B:$B,PL_Consol!$B30)+SUMIFS(PL_FNB!C:C,PL_FNB!$B:$B,PL_Consol!$B30)</f>
        <v>3.1359790730067032</v>
      </c>
      <c r="E30" s="118">
        <f>SUMIFS(PL_Kochi!D:D,PL_Kochi!$B:$B,PL_Consol!$B30)+SUMIFS(PL_Calicut!D:D,PL_Calicut!$B:$B,PL_Consol!$B30)+SUMIFS(PL_FNB!D:D,PL_FNB!$B:$B,PL_Consol!$B30)</f>
        <v>10.913492335961569</v>
      </c>
      <c r="F30" s="118">
        <f>SUMIFS(PL_Kochi!E:E,PL_Kochi!$B:$B,PL_Consol!$B30)+SUMIFS(PL_Calicut!E:E,PL_Calicut!$B:$B,PL_Consol!$B30)+SUMIFS(PL_FNB!E:E,PL_FNB!$B:$B,PL_Consol!$B30)</f>
        <v>10.962903681507852</v>
      </c>
      <c r="G30" s="118">
        <f>SUMIFS(PL_Kochi!F:F,PL_Kochi!$B:$B,PL_Consol!$B30)+SUMIFS(PL_Calicut!F:F,PL_Calicut!$B:$B,PL_Consol!$B30)+SUMIFS(PL_FNB!F:F,PL_FNB!$B:$B,PL_Consol!$B30)</f>
        <v>20.894597981419007</v>
      </c>
      <c r="H30" s="118">
        <f>SUMIFS(PL_Kochi!G:G,PL_Kochi!$B:$B,PL_Consol!$B30)+SUMIFS(PL_Calicut!G:G,PL_Calicut!$B:$B,PL_Consol!$B30)+SUMIFS(PL_FNB!G:G,PL_FNB!$B:$B,PL_Consol!$B30)</f>
        <v>8.474487945578403</v>
      </c>
      <c r="I30" s="118">
        <f>SUMIFS(PL_Kochi!H:H,PL_Kochi!$B:$B,PL_Consol!$B30)+SUMIFS(PL_Calicut!H:H,PL_Calicut!$B:$B,PL_Consol!$B30)+SUMIFS(PL_FNB!H:H,PL_FNB!$B:$B,PL_Consol!$B30)</f>
        <v>6.8070683549203892</v>
      </c>
      <c r="J30" s="118">
        <f>SUMIFS(PL_Kochi!I:I,PL_Kochi!$B:$B,PL_Consol!$B30)+SUMIFS(PL_Calicut!I:I,PL_Calicut!$B:$B,PL_Consol!$B30)+SUMIFS(PL_FNB!I:I,PL_FNB!$B:$B,PL_Consol!$B30)</f>
        <v>16.393486500409121</v>
      </c>
      <c r="K30" s="118">
        <f>SUMIFS(PL_Kochi!J:J,PL_Kochi!$B:$B,PL_Consol!$B30)+SUMIFS(PL_Calicut!J:J,PL_Calicut!$B:$B,PL_Consol!$B30)+SUMIFS(PL_FNB!J:J,PL_FNB!$B:$B,PL_Consol!$B30)</f>
        <v>17.123053816405644</v>
      </c>
      <c r="L30" s="118">
        <f>SUMIFS(PL_Kochi!K:K,PL_Kochi!$B:$B,PL_Consol!$B30)+SUMIFS(PL_Calicut!K:K,PL_Calicut!$B:$B,PL_Consol!$B30)+SUMIFS(PL_FNB!K:K,PL_FNB!$B:$B,PL_Consol!$B30)</f>
        <v>9.24075304569857</v>
      </c>
      <c r="M30" s="118">
        <f>SUMIFS(PL_Kochi!L:L,PL_Kochi!$B:$B,PL_Consol!$B30)+SUMIFS(PL_Calicut!L:L,PL_Calicut!$B:$B,PL_Consol!$B30)+SUMIFS(PL_FNB!L:L,PL_FNB!$B:$B,PL_Consol!$B30)</f>
        <v>19.779752969466053</v>
      </c>
      <c r="N30" s="118">
        <f>SUMIFS(PL_Kochi!M:M,PL_Kochi!$B:$B,PL_Consol!$B30)+SUMIFS(PL_Calicut!M:M,PL_Calicut!$B:$B,PL_Consol!$B30)+SUMIFS(PL_FNB!M:M,PL_FNB!$B:$B,PL_Consol!$B30)</f>
        <v>35.870257342149628</v>
      </c>
      <c r="O30" s="118">
        <f>SUMIFS(PL_Kochi!N:N,PL_Kochi!$B:$B,PL_Consol!$B30)+SUMIFS(PL_Calicut!N:N,PL_Calicut!$B:$B,PL_Consol!$B30)+SUMIFS(PL_FNB!N:N,PL_FNB!$B:$B,PL_Consol!$B30)</f>
        <v>41.606214096950403</v>
      </c>
      <c r="P30" s="118">
        <f t="shared" si="9"/>
        <v>201.20204714347335</v>
      </c>
      <c r="Q30" s="118">
        <v>150</v>
      </c>
      <c r="R30" s="118">
        <v>180.40599999999998</v>
      </c>
      <c r="S30" s="118">
        <f>SUMIFS(PL_Kochi!R:R,PL_Kochi!$B:$B,PL_Consol!$B30)+SUMIFS(PL_Calicut!R:R,PL_Calicut!$B:$B,PL_Consol!$B30)+SUMIFS(PL_FNB!R:R,PL_FNB!$B:$B,PL_Consol!$B30)</f>
        <v>14.32361552325918</v>
      </c>
      <c r="T30" s="122">
        <f>SUMIFS(PL_Kochi!S:S,PL_Kochi!$B:$B,PL_Consol!$B30)+SUMIFS(PL_Calicut!S:S,PL_Calicut!$B:$B,PL_Consol!$B30)+SUMIFS(PL_FNB!S:S,PL_FNB!$B:$B,PL_Consol!$B30)</f>
        <v>14.501312799999999</v>
      </c>
      <c r="U30" s="118">
        <v>0.5</v>
      </c>
      <c r="V30" s="157">
        <f t="shared" si="1"/>
        <v>0.32875090333971557</v>
      </c>
      <c r="W30" s="157">
        <f t="shared" si="2"/>
        <v>1.2405895456511606E-2</v>
      </c>
      <c r="X30" s="149">
        <f t="shared" si="5"/>
        <v>28.64723104651836</v>
      </c>
    </row>
    <row r="31" spans="2:25" x14ac:dyDescent="0.35">
      <c r="B31" s="126" t="s">
        <v>307</v>
      </c>
      <c r="C31" s="67">
        <v>22</v>
      </c>
      <c r="D31" s="118">
        <f>SUMIFS(PL_Kochi!C:C,PL_Kochi!$B:$B,PL_Consol!$B31)+SUMIFS(PL_Calicut!C:C,PL_Calicut!$B:$B,PL_Consol!$B31)+SUMIFS(PL_FNB!C:C,PL_FNB!$B:$B,PL_Consol!$B31)</f>
        <v>0</v>
      </c>
      <c r="E31" s="118">
        <f>SUMIFS(PL_Kochi!D:D,PL_Kochi!$B:$B,PL_Consol!$B31)+SUMIFS(PL_Calicut!D:D,PL_Calicut!$B:$B,PL_Consol!$B31)+SUMIFS(PL_FNB!D:D,PL_FNB!$B:$B,PL_Consol!$B31)</f>
        <v>0</v>
      </c>
      <c r="F31" s="118">
        <f>SUMIFS(PL_Kochi!E:E,PL_Kochi!$B:$B,PL_Consol!$B31)+SUMIFS(PL_Calicut!E:E,PL_Calicut!$B:$B,PL_Consol!$B31)+SUMIFS(PL_FNB!E:E,PL_FNB!$B:$B,PL_Consol!$B31)</f>
        <v>0</v>
      </c>
      <c r="G31" s="118">
        <f>SUMIFS(PL_Kochi!F:F,PL_Kochi!$B:$B,PL_Consol!$B31)+SUMIFS(PL_Calicut!F:F,PL_Calicut!$B:$B,PL_Consol!$B31)+SUMIFS(PL_FNB!F:F,PL_FNB!$B:$B,PL_Consol!$B31)</f>
        <v>0</v>
      </c>
      <c r="H31" s="118">
        <f>SUMIFS(PL_Kochi!G:G,PL_Kochi!$B:$B,PL_Consol!$B31)+SUMIFS(PL_Calicut!G:G,PL_Calicut!$B:$B,PL_Consol!$B31)+SUMIFS(PL_FNB!G:G,PL_FNB!$B:$B,PL_Consol!$B31)</f>
        <v>8.4021841466815905E-2</v>
      </c>
      <c r="I31" s="118">
        <f>SUMIFS(PL_Kochi!H:H,PL_Kochi!$B:$B,PL_Consol!$B31)+SUMIFS(PL_Calicut!H:H,PL_Calicut!$B:$B,PL_Consol!$B31)+SUMIFS(PL_FNB!H:H,PL_FNB!$B:$B,PL_Consol!$B31)</f>
        <v>0.59515768382793788</v>
      </c>
      <c r="J31" s="118">
        <f>SUMIFS(PL_Kochi!I:I,PL_Kochi!$B:$B,PL_Consol!$B31)+SUMIFS(PL_Calicut!I:I,PL_Calicut!$B:$B,PL_Consol!$B31)+SUMIFS(PL_FNB!I:I,PL_FNB!$B:$B,PL_Consol!$B31)</f>
        <v>0.41771088509471649</v>
      </c>
      <c r="K31" s="118">
        <f>SUMIFS(PL_Kochi!J:J,PL_Kochi!$B:$B,PL_Consol!$B31)+SUMIFS(PL_Calicut!J:J,PL_Calicut!$B:$B,PL_Consol!$B31)+SUMIFS(PL_FNB!J:J,PL_FNB!$B:$B,PL_Consol!$B31)</f>
        <v>0.42412627260992775</v>
      </c>
      <c r="L31" s="118">
        <f>SUMIFS(PL_Kochi!K:K,PL_Kochi!$B:$B,PL_Consol!$B31)+SUMIFS(PL_Calicut!K:K,PL_Calicut!$B:$B,PL_Consol!$B31)+SUMIFS(PL_FNB!K:K,PL_FNB!$B:$B,PL_Consol!$B31)</f>
        <v>0.88160848083941379</v>
      </c>
      <c r="M31" s="118">
        <f>SUMIFS(PL_Kochi!L:L,PL_Kochi!$B:$B,PL_Consol!$B31)+SUMIFS(PL_Calicut!L:L,PL_Calicut!$B:$B,PL_Consol!$B31)+SUMIFS(PL_FNB!L:L,PL_FNB!$B:$B,PL_Consol!$B31)</f>
        <v>0.63415405377250045</v>
      </c>
      <c r="N31" s="118">
        <f>SUMIFS(PL_Kochi!M:M,PL_Kochi!$B:$B,PL_Consol!$B31)+SUMIFS(PL_Calicut!M:M,PL_Calicut!$B:$B,PL_Consol!$B31)+SUMIFS(PL_FNB!M:M,PL_FNB!$B:$B,PL_Consol!$B31)</f>
        <v>4.9612765160634772E-2</v>
      </c>
      <c r="O31" s="118">
        <f>SUMIFS(PL_Kochi!N:N,PL_Kochi!$B:$B,PL_Consol!$B31)+SUMIFS(PL_Calicut!N:N,PL_Calicut!$B:$B,PL_Consol!$B31)+SUMIFS(PL_FNB!N:N,PL_FNB!$B:$B,PL_Consol!$B31)</f>
        <v>2.5907985966690834</v>
      </c>
      <c r="P31" s="118">
        <f t="shared" si="9"/>
        <v>5.6771905794410298</v>
      </c>
      <c r="Q31" s="118">
        <v>4.4806926437418646</v>
      </c>
      <c r="R31" s="118">
        <v>6.814546</v>
      </c>
      <c r="S31" s="118">
        <f>SUMIFS(PL_Kochi!R:R,PL_Kochi!$B:$B,PL_Consol!$B31)+SUMIFS(PL_Calicut!R:R,PL_Calicut!$B:$B,PL_Consol!$B31)+SUMIFS(PL_FNB!R:R,PL_FNB!$B:$B,PL_Consol!$B31)</f>
        <v>0</v>
      </c>
      <c r="T31" s="122">
        <f>SUMIFS(PL_Kochi!S:S,PL_Kochi!$B:$B,PL_Consol!$B31)+SUMIFS(PL_Calicut!S:S,PL_Calicut!$B:$B,PL_Consol!$B31)+SUMIFS(PL_FNB!S:S,PL_FNB!$B:$B,PL_Consol!$B31)</f>
        <v>0</v>
      </c>
      <c r="U31" s="118">
        <v>88.3</v>
      </c>
      <c r="V31" s="157" t="str">
        <f t="shared" si="1"/>
        <v>-</v>
      </c>
      <c r="W31" s="157" t="str">
        <f t="shared" si="2"/>
        <v>-</v>
      </c>
      <c r="X31" s="149">
        <f t="shared" si="5"/>
        <v>0</v>
      </c>
    </row>
    <row r="32" spans="2:25" x14ac:dyDescent="0.35">
      <c r="B32" s="126" t="s">
        <v>308</v>
      </c>
      <c r="C32" s="67">
        <v>23</v>
      </c>
      <c r="D32" s="118">
        <f>SUMIFS(PL_Kochi!C:C,PL_Kochi!$B:$B,PL_Consol!$B32)+SUMIFS(PL_Calicut!C:C,PL_Calicut!$B:$B,PL_Consol!$B32)+SUMIFS(PL_FNB!C:C,PL_FNB!$B:$B,PL_Consol!$B32)</f>
        <v>18.713981957775385</v>
      </c>
      <c r="E32" s="118">
        <f>SUMIFS(PL_Kochi!D:D,PL_Kochi!$B:$B,PL_Consol!$B32)+SUMIFS(PL_Calicut!D:D,PL_Calicut!$B:$B,PL_Consol!$B32)+SUMIFS(PL_FNB!D:D,PL_FNB!$B:$B,PL_Consol!$B32)</f>
        <v>1.3771271487277332</v>
      </c>
      <c r="F32" s="118">
        <f>SUMIFS(PL_Kochi!E:E,PL_Kochi!$B:$B,PL_Consol!$B32)+SUMIFS(PL_Calicut!E:E,PL_Calicut!$B:$B,PL_Consol!$B32)+SUMIFS(PL_FNB!E:E,PL_FNB!$B:$B,PL_Consol!$B32)</f>
        <v>1.3771708174955837</v>
      </c>
      <c r="G32" s="118">
        <f>SUMIFS(PL_Kochi!F:F,PL_Kochi!$B:$B,PL_Consol!$B32)+SUMIFS(PL_Calicut!F:F,PL_Calicut!$B:$B,PL_Consol!$B32)+SUMIFS(PL_FNB!F:F,PL_FNB!$B:$B,PL_Consol!$B32)</f>
        <v>1.3771110981095964</v>
      </c>
      <c r="H32" s="118">
        <f>SUMIFS(PL_Kochi!G:G,PL_Kochi!$B:$B,PL_Consol!$B32)+SUMIFS(PL_Calicut!G:G,PL_Calicut!$B:$B,PL_Consol!$B32)+SUMIFS(PL_FNB!G:G,PL_FNB!$B:$B,PL_Consol!$B32)</f>
        <v>1.3770999644013884</v>
      </c>
      <c r="I32" s="118">
        <f>SUMIFS(PL_Kochi!H:H,PL_Kochi!$B:$B,PL_Consol!$B32)+SUMIFS(PL_Calicut!H:H,PL_Calicut!$B:$B,PL_Consol!$B32)+SUMIFS(PL_FNB!H:H,PL_FNB!$B:$B,PL_Consol!$B32)</f>
        <v>1.37710684449707</v>
      </c>
      <c r="J32" s="118">
        <f>SUMIFS(PL_Kochi!I:I,PL_Kochi!$B:$B,PL_Consol!$B32)+SUMIFS(PL_Calicut!I:I,PL_Calicut!$B:$B,PL_Consol!$B32)+SUMIFS(PL_FNB!I:I,PL_FNB!$B:$B,PL_Consol!$B32)</f>
        <v>1.3771075529746926</v>
      </c>
      <c r="K32" s="118">
        <f>SUMIFS(PL_Kochi!J:J,PL_Kochi!$B:$B,PL_Consol!$B32)+SUMIFS(PL_Calicut!J:J,PL_Calicut!$B:$B,PL_Consol!$B32)+SUMIFS(PL_FNB!J:J,PL_FNB!$B:$B,PL_Consol!$B32)</f>
        <v>1.3771519987739296</v>
      </c>
      <c r="L32" s="118">
        <f>SUMIFS(PL_Kochi!K:K,PL_Kochi!$B:$B,PL_Consol!$B32)+SUMIFS(PL_Calicut!K:K,PL_Calicut!$B:$B,PL_Consol!$B32)+SUMIFS(PL_FNB!K:K,PL_FNB!$B:$B,PL_Consol!$B32)</f>
        <v>1.3771301307731372</v>
      </c>
      <c r="M32" s="118">
        <f>SUMIFS(PL_Kochi!L:L,PL_Kochi!$B:$B,PL_Consol!$B32)+SUMIFS(PL_Calicut!L:L,PL_Calicut!$B:$B,PL_Consol!$B32)+SUMIFS(PL_FNB!L:L,PL_FNB!$B:$B,PL_Consol!$B32)</f>
        <v>1.3770765178806457</v>
      </c>
      <c r="N32" s="118">
        <f>SUMIFS(PL_Kochi!M:M,PL_Kochi!$B:$B,PL_Consol!$B32)+SUMIFS(PL_Calicut!M:M,PL_Calicut!$B:$B,PL_Consol!$B32)+SUMIFS(PL_FNB!M:M,PL_FNB!$B:$B,PL_Consol!$B32)</f>
        <v>1.3770963086660797</v>
      </c>
      <c r="O32" s="118">
        <f>SUMIFS(PL_Kochi!N:N,PL_Kochi!$B:$B,PL_Consol!$B32)+SUMIFS(PL_Calicut!N:N,PL_Calicut!$B:$B,PL_Consol!$B32)+SUMIFS(PL_FNB!N:N,PL_FNB!$B:$B,PL_Consol!$B32)</f>
        <v>18.712982959002865</v>
      </c>
      <c r="P32" s="118">
        <f t="shared" si="9"/>
        <v>51.198143299078104</v>
      </c>
      <c r="Q32" s="118">
        <v>370</v>
      </c>
      <c r="R32" s="118">
        <v>243.91</v>
      </c>
      <c r="S32" s="118">
        <f>ECL!M43</f>
        <v>16.52090384932626</v>
      </c>
      <c r="T32" s="122">
        <f>SUMIFS(PL_Kochi!S:S,PL_Kochi!$B:$B,PL_Consol!$B32)+SUMIFS(PL_Calicut!S:S,PL_Calicut!$B:$B,PL_Consol!$B32)+SUMIFS(PL_FNB!S:S,PL_FNB!$B:$B,PL_Consol!$B32)</f>
        <v>1.3767419874438549</v>
      </c>
      <c r="U32" s="118">
        <v>118.3</v>
      </c>
      <c r="V32" s="157">
        <f t="shared" si="1"/>
        <v>-2.796846204318193E-4</v>
      </c>
      <c r="W32" s="157">
        <f t="shared" si="2"/>
        <v>-0.91666666666666663</v>
      </c>
      <c r="X32" s="149">
        <f t="shared" si="5"/>
        <v>0.13965261072972324</v>
      </c>
    </row>
    <row r="33" spans="2:24" x14ac:dyDescent="0.35">
      <c r="B33" s="126" t="s">
        <v>317</v>
      </c>
      <c r="C33" s="67">
        <v>24</v>
      </c>
      <c r="D33" s="118">
        <f>SUMIFS(PL_Kochi!C:C,PL_Kochi!$B:$B,PL_Consol!$B33)+SUMIFS(PL_Calicut!C:C,PL_Calicut!$B:$B,PL_Consol!$B33)+SUMIFS(PL_FNB!C:C,PL_FNB!$B:$B,PL_Consol!$B33)</f>
        <v>0.68185367914116357</v>
      </c>
      <c r="E33" s="118">
        <f>SUMIFS(PL_Kochi!D:D,PL_Kochi!$B:$B,PL_Consol!$B33)+SUMIFS(PL_Calicut!D:D,PL_Calicut!$B:$B,PL_Consol!$B33)+SUMIFS(PL_FNB!D:D,PL_FNB!$B:$B,PL_Consol!$B33)</f>
        <v>3.4929729205438953</v>
      </c>
      <c r="F33" s="118">
        <f>SUMIFS(PL_Kochi!E:E,PL_Kochi!$B:$B,PL_Consol!$B33)+SUMIFS(PL_Calicut!E:E,PL_Calicut!$B:$B,PL_Consol!$B33)+SUMIFS(PL_FNB!E:E,PL_FNB!$B:$B,PL_Consol!$B33)</f>
        <v>2.4256114150404793</v>
      </c>
      <c r="G33" s="118">
        <f>SUMIFS(PL_Kochi!F:F,PL_Kochi!$B:$B,PL_Consol!$B33)+SUMIFS(PL_Calicut!F:F,PL_Calicut!$B:$B,PL_Consol!$B33)+SUMIFS(PL_FNB!F:F,PL_FNB!$B:$B,PL_Consol!$B33)</f>
        <v>4.0467134045443292</v>
      </c>
      <c r="H33" s="118">
        <f>SUMIFS(PL_Kochi!G:G,PL_Kochi!$B:$B,PL_Consol!$B33)+SUMIFS(PL_Calicut!G:G,PL_Calicut!$B:$B,PL_Consol!$B33)+SUMIFS(PL_FNB!G:G,PL_FNB!$B:$B,PL_Consol!$B33)</f>
        <v>2.7793287406887019</v>
      </c>
      <c r="I33" s="118">
        <f>SUMIFS(PL_Kochi!H:H,PL_Kochi!$B:$B,PL_Consol!$B33)+SUMIFS(PL_Calicut!H:H,PL_Calicut!$B:$B,PL_Consol!$B33)+SUMIFS(PL_FNB!H:H,PL_FNB!$B:$B,PL_Consol!$B33)</f>
        <v>2.9051669407107825</v>
      </c>
      <c r="J33" s="118">
        <f>SUMIFS(PL_Kochi!I:I,PL_Kochi!$B:$B,PL_Consol!$B33)+SUMIFS(PL_Calicut!I:I,PL_Calicut!$B:$B,PL_Consol!$B33)+SUMIFS(PL_FNB!I:I,PL_FNB!$B:$B,PL_Consol!$B33)</f>
        <v>3.1176339600512053</v>
      </c>
      <c r="K33" s="118">
        <f>SUMIFS(PL_Kochi!J:J,PL_Kochi!$B:$B,PL_Consol!$B33)+SUMIFS(PL_Calicut!J:J,PL_Calicut!$B:$B,PL_Consol!$B33)+SUMIFS(PL_FNB!J:J,PL_FNB!$B:$B,PL_Consol!$B33)</f>
        <v>5.01597867024305</v>
      </c>
      <c r="L33" s="118">
        <f>SUMIFS(PL_Kochi!K:K,PL_Kochi!$B:$B,PL_Consol!$B33)+SUMIFS(PL_Calicut!K:K,PL_Calicut!$B:$B,PL_Consol!$B33)+SUMIFS(PL_FNB!K:K,PL_FNB!$B:$B,PL_Consol!$B33)</f>
        <v>2.4340293649040703</v>
      </c>
      <c r="M33" s="118">
        <f>SUMIFS(PL_Kochi!L:L,PL_Kochi!$B:$B,PL_Consol!$B33)+SUMIFS(PL_Calicut!L:L,PL_Calicut!$B:$B,PL_Consol!$B33)+SUMIFS(PL_FNB!L:L,PL_FNB!$B:$B,PL_Consol!$B33)</f>
        <v>3.3117411840947399</v>
      </c>
      <c r="N33" s="118">
        <f>SUMIFS(PL_Kochi!M:M,PL_Kochi!$B:$B,PL_Consol!$B33)+SUMIFS(PL_Calicut!M:M,PL_Calicut!$B:$B,PL_Consol!$B33)+SUMIFS(PL_FNB!M:M,PL_FNB!$B:$B,PL_Consol!$B33)</f>
        <v>2.0004323738047001</v>
      </c>
      <c r="O33" s="118">
        <f>SUMIFS(PL_Kochi!N:N,PL_Kochi!$B:$B,PL_Consol!$B33)+SUMIFS(PL_Calicut!N:N,PL_Calicut!$B:$B,PL_Consol!$B33)+SUMIFS(PL_FNB!N:N,PL_FNB!$B:$B,PL_Consol!$B33)</f>
        <v>5.3502137110335077</v>
      </c>
      <c r="P33" s="118">
        <f t="shared" si="9"/>
        <v>37.561676364800618</v>
      </c>
      <c r="Q33" s="118">
        <v>41.975910140242696</v>
      </c>
      <c r="R33" s="118">
        <v>34.723635000000002</v>
      </c>
      <c r="S33" s="118">
        <f>SUMIFS(PL_Kochi!R:R,PL_Kochi!$B:$B,PL_Consol!$B33)+SUMIFS(PL_Calicut!R:R,PL_Calicut!$B:$B,PL_Consol!$B33)+SUMIFS(PL_FNB!R:R,PL_FNB!$B:$B,PL_Consol!$B33)</f>
        <v>1.102155588882239</v>
      </c>
      <c r="T33" s="122">
        <f>SUMIFS(PL_Kochi!S:S,PL_Kochi!$B:$B,PL_Consol!$B33)+SUMIFS(PL_Calicut!S:S,PL_Calicut!$B:$B,PL_Consol!$B33)+SUMIFS(PL_FNB!S:S,PL_FNB!$B:$B,PL_Consol!$B33)</f>
        <v>2.6738306999999999</v>
      </c>
      <c r="U33" s="118">
        <v>3.9</v>
      </c>
      <c r="V33" s="157">
        <f t="shared" si="1"/>
        <v>-0.23451147179702314</v>
      </c>
      <c r="W33" s="157">
        <f>IFERROR(T33/S33-1,"-")</f>
        <v>1.4260011263125647</v>
      </c>
      <c r="X33" s="149">
        <f t="shared" si="5"/>
        <v>0.28260399714929207</v>
      </c>
    </row>
    <row r="34" spans="2:24" x14ac:dyDescent="0.35">
      <c r="B34" s="126" t="s">
        <v>325</v>
      </c>
      <c r="C34" s="67">
        <v>25</v>
      </c>
      <c r="D34" s="118">
        <f>SUMIFS(PL_Kochi!C:C,PL_Kochi!$B:$B,PL_Consol!$B34)+SUMIFS(PL_Calicut!C:C,PL_Calicut!$B:$B,PL_Consol!$B34)+SUMIFS(PL_FNB!C:C,PL_FNB!$B:$B,PL_Consol!$B34)</f>
        <v>11.494375059980406</v>
      </c>
      <c r="E34" s="118">
        <f>SUMIFS(PL_Kochi!D:D,PL_Kochi!$B:$B,PL_Consol!$B34)+SUMIFS(PL_Calicut!D:D,PL_Calicut!$B:$B,PL_Consol!$B34)+SUMIFS(PL_FNB!D:D,PL_FNB!$B:$B,PL_Consol!$B34)</f>
        <v>13.282295728113265</v>
      </c>
      <c r="F34" s="118">
        <f>SUMIFS(PL_Kochi!E:E,PL_Kochi!$B:$B,PL_Consol!$B34)+SUMIFS(PL_Calicut!E:E,PL_Calicut!$B:$B,PL_Consol!$B34)+SUMIFS(PL_FNB!E:E,PL_FNB!$B:$B,PL_Consol!$B34)</f>
        <v>13.151582544338924</v>
      </c>
      <c r="G34" s="118">
        <f>SUMIFS(PL_Kochi!F:F,PL_Kochi!$B:$B,PL_Consol!$B34)+SUMIFS(PL_Calicut!F:F,PL_Calicut!$B:$B,PL_Consol!$B34)+SUMIFS(PL_FNB!F:F,PL_FNB!$B:$B,PL_Consol!$B34)</f>
        <v>15.067057913320717</v>
      </c>
      <c r="H34" s="118">
        <f>SUMIFS(PL_Kochi!G:G,PL_Kochi!$B:$B,PL_Consol!$B34)+SUMIFS(PL_Calicut!G:G,PL_Calicut!$B:$B,PL_Consol!$B34)+SUMIFS(PL_FNB!G:G,PL_FNB!$B:$B,PL_Consol!$B34)</f>
        <v>18.584653308694154</v>
      </c>
      <c r="I34" s="118">
        <f>SUMIFS(PL_Kochi!H:H,PL_Kochi!$B:$B,PL_Consol!$B34)+SUMIFS(PL_Calicut!H:H,PL_Calicut!$B:$B,PL_Consol!$B34)+SUMIFS(PL_FNB!H:H,PL_FNB!$B:$B,PL_Consol!$B34)</f>
        <v>15.298645233146564</v>
      </c>
      <c r="J34" s="118">
        <f>SUMIFS(PL_Kochi!I:I,PL_Kochi!$B:$B,PL_Consol!$B34)+SUMIFS(PL_Calicut!I:I,PL_Calicut!$B:$B,PL_Consol!$B34)+SUMIFS(PL_FNB!I:I,PL_FNB!$B:$B,PL_Consol!$B34)</f>
        <v>15.56451905526103</v>
      </c>
      <c r="K34" s="118">
        <f>SUMIFS(PL_Kochi!J:J,PL_Kochi!$B:$B,PL_Consol!$B34)+SUMIFS(PL_Calicut!J:J,PL_Calicut!$B:$B,PL_Consol!$B34)+SUMIFS(PL_FNB!J:J,PL_FNB!$B:$B,PL_Consol!$B34)</f>
        <v>12.937512720416079</v>
      </c>
      <c r="L34" s="118">
        <f>SUMIFS(PL_Kochi!K:K,PL_Kochi!$B:$B,PL_Consol!$B34)+SUMIFS(PL_Calicut!K:K,PL_Calicut!$B:$B,PL_Consol!$B34)+SUMIFS(PL_FNB!K:K,PL_FNB!$B:$B,PL_Consol!$B34)</f>
        <v>14.607820305618832</v>
      </c>
      <c r="M34" s="118">
        <f>SUMIFS(PL_Kochi!L:L,PL_Kochi!$B:$B,PL_Consol!$B34)+SUMIFS(PL_Calicut!L:L,PL_Calicut!$B:$B,PL_Consol!$B34)+SUMIFS(PL_FNB!L:L,PL_FNB!$B:$B,PL_Consol!$B34)</f>
        <v>14.398174045465433</v>
      </c>
      <c r="N34" s="118">
        <f>SUMIFS(PL_Kochi!M:M,PL_Kochi!$B:$B,PL_Consol!$B34)+SUMIFS(PL_Calicut!M:M,PL_Calicut!$B:$B,PL_Consol!$B34)+SUMIFS(PL_FNB!M:M,PL_FNB!$B:$B,PL_Consol!$B34)</f>
        <v>16.727479454128506</v>
      </c>
      <c r="O34" s="118">
        <f>SUMIFS(PL_Kochi!N:N,PL_Kochi!$B:$B,PL_Consol!$B34)+SUMIFS(PL_Calicut!N:N,PL_Calicut!$B:$B,PL_Consol!$B34)+SUMIFS(PL_FNB!N:N,PL_FNB!$B:$B,PL_Consol!$B34)</f>
        <v>20.709302184793046</v>
      </c>
      <c r="P34" s="118">
        <f t="shared" si="9"/>
        <v>181.82341755327695</v>
      </c>
      <c r="Q34" s="118">
        <v>190</v>
      </c>
      <c r="R34" s="118">
        <v>157.6058256</v>
      </c>
      <c r="S34" s="118">
        <f>SUMIFS(PL_Kochi!R:R,PL_Kochi!$B:$B,PL_Consol!$B34)+SUMIFS(PL_Calicut!R:R,PL_Calicut!$B:$B,PL_Consol!$B34)+SUMIFS(PL_FNB!R:R,PL_FNB!$B:$B,PL_Consol!$B34)</f>
        <v>18.059430153029304</v>
      </c>
      <c r="T34" s="122">
        <f>SUMIFS(PL_Kochi!S:S,PL_Kochi!$B:$B,PL_Consol!$B34)+SUMIFS(PL_Calicut!S:S,PL_Calicut!$B:$B,PL_Consol!$B34)+SUMIFS(PL_FNB!S:S,PL_FNB!$B:$B,PL_Consol!$B34)</f>
        <v>13.9338242</v>
      </c>
      <c r="U34" s="118">
        <v>16.5</v>
      </c>
      <c r="V34" s="157">
        <f>IFERROR(T34/E34-1,"-")</f>
        <v>4.9052399165282257E-2</v>
      </c>
      <c r="W34" s="157">
        <f t="shared" si="2"/>
        <v>-0.22844607598746802</v>
      </c>
      <c r="X34" s="149">
        <f t="shared" si="5"/>
        <v>1.0945109183654123</v>
      </c>
    </row>
    <row r="35" spans="2:24" x14ac:dyDescent="0.35">
      <c r="B35" s="126" t="s">
        <v>270</v>
      </c>
      <c r="C35" s="67">
        <v>26</v>
      </c>
      <c r="D35" s="118">
        <f>SUMIFS(PL_Kochi!C:C,PL_Kochi!$B:$B,PL_Consol!$B35)+SUMIFS(PL_Calicut!C:C,PL_Calicut!$B:$B,PL_Consol!$B35)+SUMIFS(PL_FNB!C:C,PL_FNB!$B:$B,PL_Consol!$B35)</f>
        <v>2.4659089993197982</v>
      </c>
      <c r="E35" s="118">
        <f>SUMIFS(PL_Kochi!D:D,PL_Kochi!$B:$B,PL_Consol!$B35)+SUMIFS(PL_Calicut!D:D,PL_Calicut!$B:$B,PL_Consol!$B35)+SUMIFS(PL_FNB!D:D,PL_FNB!$B:$B,PL_Consol!$B35)</f>
        <v>2.4144899426692863</v>
      </c>
      <c r="F35" s="118">
        <f>SUMIFS(PL_Kochi!E:E,PL_Kochi!$B:$B,PL_Consol!$B35)+SUMIFS(PL_Calicut!E:E,PL_Calicut!$B:$B,PL_Consol!$B35)+SUMIFS(PL_FNB!E:E,PL_FNB!$B:$B,PL_Consol!$B35)</f>
        <v>3.4030766819529887</v>
      </c>
      <c r="G35" s="118">
        <f>SUMIFS(PL_Kochi!F:F,PL_Kochi!$B:$B,PL_Consol!$B35)+SUMIFS(PL_Calicut!F:F,PL_Calicut!$B:$B,PL_Consol!$B35)+SUMIFS(PL_FNB!F:F,PL_FNB!$B:$B,PL_Consol!$B35)</f>
        <v>6.8842076884967565</v>
      </c>
      <c r="H35" s="118">
        <f>SUMIFS(PL_Kochi!G:G,PL_Kochi!$B:$B,PL_Consol!$B35)+SUMIFS(PL_Calicut!G:G,PL_Calicut!$B:$B,PL_Consol!$B35)+SUMIFS(PL_FNB!G:G,PL_FNB!$B:$B,PL_Consol!$B35)</f>
        <v>12.573067803585714</v>
      </c>
      <c r="I35" s="118">
        <f>SUMIFS(PL_Kochi!H:H,PL_Kochi!$B:$B,PL_Consol!$B35)+SUMIFS(PL_Calicut!H:H,PL_Calicut!$B:$B,PL_Consol!$B35)+SUMIFS(PL_FNB!H:H,PL_FNB!$B:$B,PL_Consol!$B35)</f>
        <v>6.2340995088306181</v>
      </c>
      <c r="J35" s="118">
        <f>SUMIFS(PL_Kochi!I:I,PL_Kochi!$B:$B,PL_Consol!$B35)+SUMIFS(PL_Calicut!I:I,PL_Calicut!$B:$B,PL_Consol!$B35)+SUMIFS(PL_FNB!I:I,PL_FNB!$B:$B,PL_Consol!$B35)</f>
        <v>8.1068159315944595</v>
      </c>
      <c r="K35" s="118">
        <f>SUMIFS(PL_Kochi!J:J,PL_Kochi!$B:$B,PL_Consol!$B35)+SUMIFS(PL_Calicut!J:J,PL_Calicut!$B:$B,PL_Consol!$B35)+SUMIFS(PL_FNB!J:J,PL_FNB!$B:$B,PL_Consol!$B35)</f>
        <v>25.901764663851051</v>
      </c>
      <c r="L35" s="118">
        <f>SUMIFS(PL_Kochi!K:K,PL_Kochi!$B:$B,PL_Consol!$B35)+SUMIFS(PL_Calicut!K:K,PL_Calicut!$B:$B,PL_Consol!$B35)+SUMIFS(PL_FNB!K:K,PL_FNB!$B:$B,PL_Consol!$B35)</f>
        <v>11.309856076168154</v>
      </c>
      <c r="M35" s="118">
        <f>SUMIFS(PL_Kochi!L:L,PL_Kochi!$B:$B,PL_Consol!$B35)+SUMIFS(PL_Calicut!L:L,PL_Calicut!$B:$B,PL_Consol!$B35)+SUMIFS(PL_FNB!L:L,PL_FNB!$B:$B,PL_Consol!$B35)</f>
        <v>9.4525364171961304</v>
      </c>
      <c r="N35" s="118">
        <f>SUMIFS(PL_Kochi!M:M,PL_Kochi!$B:$B,PL_Consol!$B35)+SUMIFS(PL_Calicut!M:M,PL_Calicut!$B:$B,PL_Consol!$B35)+SUMIFS(PL_FNB!M:M,PL_FNB!$B:$B,PL_Consol!$B35)</f>
        <v>5.6806971695879094</v>
      </c>
      <c r="O35" s="118">
        <f>SUMIFS(PL_Kochi!N:N,PL_Kochi!$B:$B,PL_Consol!$B35)+SUMIFS(PL_Calicut!N:N,PL_Calicut!$B:$B,PL_Consol!$B35)+SUMIFS(PL_FNB!N:N,PL_FNB!$B:$B,PL_Consol!$B35)</f>
        <v>23.654033425896358</v>
      </c>
      <c r="P35" s="118">
        <f t="shared" si="9"/>
        <v>118.08055430914924</v>
      </c>
      <c r="Q35" s="118">
        <v>149.72961871383092</v>
      </c>
      <c r="R35" s="118">
        <v>248.19999339999998</v>
      </c>
      <c r="S35" s="118">
        <f>SUMIFS(PL_Kochi!R:R,PL_Kochi!$B:$B,PL_Consol!$B35)+SUMIFS(PL_Calicut!R:R,PL_Calicut!$B:$B,PL_Consol!$B35)+SUMIFS(PL_FNB!R:R,PL_FNB!$B:$B,PL_Consol!$B35)</f>
        <v>4.8270436044321841</v>
      </c>
      <c r="T35" s="122">
        <f>SUMIFS(PL_Kochi!S:S,PL_Kochi!$B:$B,PL_Consol!$B35)+SUMIFS(PL_Calicut!S:S,PL_Calicut!$B:$B,PL_Consol!$B35)+SUMIFS(PL_FNB!S:S,PL_FNB!$B:$B,PL_Consol!$B35)</f>
        <v>6.8438394999999996</v>
      </c>
      <c r="U35" s="118">
        <v>11.7</v>
      </c>
      <c r="V35" s="157">
        <f t="shared" si="1"/>
        <v>1.8344866462495775</v>
      </c>
      <c r="W35" s="157">
        <f t="shared" si="2"/>
        <v>0.41781182455364529</v>
      </c>
      <c r="X35" s="149">
        <f t="shared" si="5"/>
        <v>0.41256782943864823</v>
      </c>
    </row>
    <row r="36" spans="2:24" x14ac:dyDescent="0.35">
      <c r="B36" s="126" t="s">
        <v>503</v>
      </c>
      <c r="C36" s="67">
        <v>27</v>
      </c>
      <c r="D36" s="118">
        <f>SUMIFS(PL_Kochi!C:C,PL_Kochi!$B:$B,PL_Consol!$B36)+SUMIFS(PL_Calicut!C:C,PL_Calicut!$B:$B,PL_Consol!$B36)+SUMIFS(PL_FNB!C:C,PL_FNB!$B:$B,PL_Consol!$B36)</f>
        <v>7.6257141307457008</v>
      </c>
      <c r="E36" s="118">
        <f>SUMIFS(PL_Kochi!D:D,PL_Kochi!$B:$B,PL_Consol!$B36)+SUMIFS(PL_Calicut!D:D,PL_Calicut!$B:$B,PL_Consol!$B36)+SUMIFS(PL_FNB!D:D,PL_FNB!$B:$B,PL_Consol!$B36)</f>
        <v>8.4221788872386192</v>
      </c>
      <c r="F36" s="118">
        <f>SUMIFS(PL_Kochi!E:E,PL_Kochi!$B:$B,PL_Consol!$B36)+SUMIFS(PL_Calicut!E:E,PL_Calicut!$B:$B,PL_Consol!$B36)+SUMIFS(PL_FNB!E:E,PL_FNB!$B:$B,PL_Consol!$B36)</f>
        <v>10.584859297568457</v>
      </c>
      <c r="G36" s="118">
        <f>SUMIFS(PL_Kochi!F:F,PL_Kochi!$B:$B,PL_Consol!$B36)+SUMIFS(PL_Calicut!F:F,PL_Calicut!$B:$B,PL_Consol!$B36)+SUMIFS(PL_FNB!F:F,PL_FNB!$B:$B,PL_Consol!$B36)</f>
        <v>10.076034038917106</v>
      </c>
      <c r="H36" s="118">
        <f>SUMIFS(PL_Kochi!G:G,PL_Kochi!$B:$B,PL_Consol!$B36)+SUMIFS(PL_Calicut!G:G,PL_Calicut!$B:$B,PL_Consol!$B36)+SUMIFS(PL_FNB!G:G,PL_FNB!$B:$B,PL_Consol!$B36)</f>
        <v>8.8706392548596718</v>
      </c>
      <c r="I36" s="118">
        <f>SUMIFS(PL_Kochi!H:H,PL_Kochi!$B:$B,PL_Consol!$B36)+SUMIFS(PL_Calicut!H:H,PL_Calicut!$B:$B,PL_Consol!$B36)+SUMIFS(PL_FNB!H:H,PL_FNB!$B:$B,PL_Consol!$B36)</f>
        <v>10.173588770970893</v>
      </c>
      <c r="J36" s="118">
        <f>SUMIFS(PL_Kochi!I:I,PL_Kochi!$B:$B,PL_Consol!$B36)+SUMIFS(PL_Calicut!I:I,PL_Calicut!$B:$B,PL_Consol!$B36)+SUMIFS(PL_FNB!I:I,PL_FNB!$B:$B,PL_Consol!$B36)</f>
        <v>9.0268695966961996</v>
      </c>
      <c r="K36" s="118">
        <f>SUMIFS(PL_Kochi!J:J,PL_Kochi!$B:$B,PL_Consol!$B36)+SUMIFS(PL_Calicut!J:J,PL_Calicut!$B:$B,PL_Consol!$B36)+SUMIFS(PL_FNB!J:J,PL_FNB!$B:$B,PL_Consol!$B36)</f>
        <v>7.62560365926812</v>
      </c>
      <c r="L36" s="118">
        <f>SUMIFS(PL_Kochi!K:K,PL_Kochi!$B:$B,PL_Consol!$B36)+SUMIFS(PL_Calicut!K:K,PL_Calicut!$B:$B,PL_Consol!$B36)+SUMIFS(PL_FNB!K:K,PL_FNB!$B:$B,PL_Consol!$B36)</f>
        <v>30.202655934405367</v>
      </c>
      <c r="M36" s="118">
        <f>SUMIFS(PL_Kochi!L:L,PL_Kochi!$B:$B,PL_Consol!$B36)+SUMIFS(PL_Calicut!L:L,PL_Calicut!$B:$B,PL_Consol!$B36)+SUMIFS(PL_FNB!L:L,PL_FNB!$B:$B,PL_Consol!$B36)</f>
        <v>7.6251857044043563</v>
      </c>
      <c r="N36" s="118">
        <f>SUMIFS(PL_Kochi!M:M,PL_Kochi!$B:$B,PL_Consol!$B36)+SUMIFS(PL_Calicut!M:M,PL_Calicut!$B:$B,PL_Consol!$B36)+SUMIFS(PL_FNB!M:M,PL_FNB!$B:$B,PL_Consol!$B36)</f>
        <v>9.6258100147011145</v>
      </c>
      <c r="O36" s="118">
        <f>SUMIFS(PL_Kochi!N:N,PL_Kochi!$B:$B,PL_Consol!$B36)+SUMIFS(PL_Calicut!N:N,PL_Calicut!$B:$B,PL_Consol!$B36)+SUMIFS(PL_FNB!N:N,PL_FNB!$B:$B,PL_Consol!$B36)</f>
        <v>27.403066283358825</v>
      </c>
      <c r="P36" s="118">
        <f t="shared" si="9"/>
        <v>147.26220557313445</v>
      </c>
      <c r="Q36" s="118">
        <v>110</v>
      </c>
      <c r="R36" s="118">
        <v>137.25</v>
      </c>
      <c r="S36" s="118">
        <f>SUMIFS(PL_Kochi!R:R,PL_Kochi!$B:$B,PL_Consol!$B36)+SUMIFS(PL_Calicut!R:R,PL_Calicut!$B:$B,PL_Consol!$B36)+SUMIFS(PL_FNB!R:R,PL_FNB!$B:$B,PL_Consol!$B36)</f>
        <v>15.003668126479317</v>
      </c>
      <c r="T36" s="122">
        <f>SUMIFS(PL_Kochi!S:S,PL_Kochi!$B:$B,PL_Consol!$B36)+SUMIFS(PL_Calicut!S:S,PL_Calicut!$B:$B,PL_Consol!$B36)+SUMIFS(PL_FNB!S:S,PL_FNB!$B:$B,PL_Consol!$B36)</f>
        <v>15</v>
      </c>
      <c r="U36" s="118">
        <v>10.7</v>
      </c>
      <c r="V36" s="157">
        <f>IFERROR(T36/E36-1,"-")</f>
        <v>0.78101180238859214</v>
      </c>
      <c r="W36" s="157">
        <f t="shared" si="2"/>
        <v>-2.4448197923299109E-4</v>
      </c>
      <c r="X36" s="149">
        <f t="shared" si="5"/>
        <v>1.4022119744373194</v>
      </c>
    </row>
    <row r="37" spans="2:24" x14ac:dyDescent="0.35">
      <c r="B37" s="129" t="s">
        <v>492</v>
      </c>
      <c r="C37" s="22"/>
      <c r="D37" s="120">
        <f t="shared" ref="D37:P37" si="10">SUM(D17:D36)</f>
        <v>2473.8738698892917</v>
      </c>
      <c r="E37" s="120">
        <f t="shared" si="10"/>
        <v>2852.4474001423882</v>
      </c>
      <c r="F37" s="120">
        <f t="shared" si="10"/>
        <v>2854.291047545245</v>
      </c>
      <c r="G37" s="120">
        <f t="shared" si="10"/>
        <v>3069.6371345896127</v>
      </c>
      <c r="H37" s="120">
        <f t="shared" si="10"/>
        <v>3025.5411055240352</v>
      </c>
      <c r="I37" s="120">
        <f t="shared" si="10"/>
        <v>3056.2149968650642</v>
      </c>
      <c r="J37" s="120">
        <f t="shared" si="10"/>
        <v>3124.1300840217191</v>
      </c>
      <c r="K37" s="120">
        <f t="shared" si="10"/>
        <v>2831.0122018159441</v>
      </c>
      <c r="L37" s="120">
        <f t="shared" si="10"/>
        <v>2982.0913631244075</v>
      </c>
      <c r="M37" s="120">
        <f t="shared" si="10"/>
        <v>3025.4402339671001</v>
      </c>
      <c r="N37" s="120">
        <f t="shared" si="10"/>
        <v>3178.9276696887414</v>
      </c>
      <c r="O37" s="120">
        <f t="shared" si="10"/>
        <v>3226.492105609801</v>
      </c>
      <c r="P37" s="120">
        <f t="shared" si="10"/>
        <v>35700.099212783345</v>
      </c>
      <c r="Q37" s="120">
        <f>SUM(Q17:Q36)</f>
        <v>40616.391349110381</v>
      </c>
      <c r="R37" s="120">
        <f>SUM(R17:R36)</f>
        <v>33673.810000000005</v>
      </c>
      <c r="S37" s="120">
        <f>SUM(S17:S36)</f>
        <v>3168.6509197650457</v>
      </c>
      <c r="T37" s="120">
        <f>SUM(T17:T36)</f>
        <v>3195.0708187750056</v>
      </c>
      <c r="U37" s="120">
        <f>SUM(U17:U36)</f>
        <v>3416.2999999999997</v>
      </c>
      <c r="V37" s="161">
        <f t="shared" si="1"/>
        <v>0.12011559568653718</v>
      </c>
      <c r="W37" s="161">
        <f t="shared" si="8"/>
        <v>-1.7926957188021175E-2</v>
      </c>
      <c r="X37" s="156">
        <f t="shared" si="5"/>
        <v>0.92750956290871589</v>
      </c>
    </row>
    <row r="38" spans="2:24" ht="4.5" customHeight="1" x14ac:dyDescent="0.35">
      <c r="B38" s="126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59" t="str">
        <f t="shared" si="7"/>
        <v>-</v>
      </c>
      <c r="W38" s="159" t="str">
        <f t="shared" si="8"/>
        <v>-</v>
      </c>
      <c r="X38" s="149" t="str">
        <f t="shared" si="5"/>
        <v>-</v>
      </c>
    </row>
    <row r="39" spans="2:24" x14ac:dyDescent="0.35">
      <c r="B39" s="127" t="s">
        <v>331</v>
      </c>
      <c r="C39" s="67"/>
      <c r="D39" s="119">
        <f t="shared" ref="D39:P39" si="11">D15-D37</f>
        <v>892.86926671070842</v>
      </c>
      <c r="E39" s="119">
        <f t="shared" si="11"/>
        <v>889.74441415761157</v>
      </c>
      <c r="F39" s="119">
        <f t="shared" si="11"/>
        <v>515.33684505475503</v>
      </c>
      <c r="G39" s="119">
        <f t="shared" si="11"/>
        <v>847.81793231038682</v>
      </c>
      <c r="H39" s="119">
        <f t="shared" si="11"/>
        <v>1005.6896121759642</v>
      </c>
      <c r="I39" s="119">
        <f t="shared" si="11"/>
        <v>900.15780093493504</v>
      </c>
      <c r="J39" s="119">
        <f t="shared" si="11"/>
        <v>824.48192667828107</v>
      </c>
      <c r="K39" s="119">
        <f t="shared" si="11"/>
        <v>696.01831658405581</v>
      </c>
      <c r="L39" s="119">
        <f t="shared" si="11"/>
        <v>746.59679837559406</v>
      </c>
      <c r="M39" s="119">
        <f t="shared" si="11"/>
        <v>1276.9449548328998</v>
      </c>
      <c r="N39" s="119">
        <f t="shared" si="11"/>
        <v>885.28220081125892</v>
      </c>
      <c r="O39" s="119">
        <f t="shared" si="11"/>
        <v>802.78208979019882</v>
      </c>
      <c r="P39" s="119">
        <f t="shared" si="11"/>
        <v>10283.722158416655</v>
      </c>
      <c r="Q39" s="119">
        <f>Q15-Q37</f>
        <v>9786.4864478644449</v>
      </c>
      <c r="R39" s="119">
        <f>R15-R37</f>
        <v>7901.4099999999962</v>
      </c>
      <c r="S39" s="119">
        <f>S15-S37</f>
        <v>1110.2296983349534</v>
      </c>
      <c r="T39" s="119">
        <f>T15-T37</f>
        <v>1230.8786244249945</v>
      </c>
      <c r="U39" s="119">
        <f>U15-U37</f>
        <v>953.25732774844118</v>
      </c>
      <c r="V39" s="160">
        <f t="shared" si="7"/>
        <v>0.24344037781140271</v>
      </c>
      <c r="W39" s="160">
        <f t="shared" si="8"/>
        <v>0.38297766287374913</v>
      </c>
      <c r="X39" s="153">
        <f t="shared" si="5"/>
        <v>1.164669461243246</v>
      </c>
    </row>
    <row r="40" spans="2:24" x14ac:dyDescent="0.35">
      <c r="B40" s="126" t="s">
        <v>332</v>
      </c>
      <c r="C40" s="67">
        <v>28</v>
      </c>
      <c r="D40" s="118">
        <v>227.36670088184275</v>
      </c>
      <c r="E40" s="118">
        <f>SUMIFS(PL_Kochi!D:D,PL_Kochi!$B:$B,PL_Consol!$B40)+SUMIFS(PL_Calicut!D:D,PL_Calicut!$B:$B,PL_Consol!$B40)+SUMIFS(PL_FNB!D:D,PL_FNB!$B:$B,PL_Consol!$B40)</f>
        <v>16.438298691470813</v>
      </c>
      <c r="F40" s="118">
        <f>SUMIFS(PL_Kochi!E:E,PL_Kochi!$B:$B,PL_Consol!$B40)+SUMIFS(PL_Calicut!E:E,PL_Calicut!$B:$B,PL_Consol!$B40)+SUMIFS(PL_FNB!E:E,PL_FNB!$B:$B,PL_Consol!$B40)</f>
        <v>16.438728385361077</v>
      </c>
      <c r="G40" s="118">
        <f>SUMIFS(PL_Kochi!F:F,PL_Kochi!$B:$B,PL_Consol!$B40)+SUMIFS(PL_Calicut!F:F,PL_Calicut!$B:$B,PL_Consol!$B40)+SUMIFS(PL_FNB!F:F,PL_FNB!$B:$B,PL_Consol!$B40)</f>
        <v>16.436339200447907</v>
      </c>
      <c r="H40" s="118">
        <f>SUMIFS(PL_Kochi!G:G,PL_Kochi!$B:$B,PL_Consol!$B40)+SUMIFS(PL_Calicut!G:G,PL_Calicut!$B:$B,PL_Consol!$B40)+SUMIFS(PL_FNB!G:G,PL_FNB!$B:$B,PL_Consol!$B40)</f>
        <v>16.436476586248553</v>
      </c>
      <c r="I40" s="118">
        <f>SUMIFS(PL_Kochi!H:H,PL_Kochi!$B:$B,PL_Consol!$B40)+SUMIFS(PL_Calicut!H:H,PL_Calicut!$B:$B,PL_Consol!$B40)+SUMIFS(PL_FNB!H:H,PL_FNB!$B:$B,PL_Consol!$B40)</f>
        <v>16.436324560440315</v>
      </c>
      <c r="J40" s="118">
        <f>SUMIFS(PL_Kochi!I:I,PL_Kochi!$B:$B,PL_Consol!$B40)+SUMIFS(PL_Calicut!I:I,PL_Calicut!$B:$B,PL_Consol!$B40)+SUMIFS(PL_FNB!I:I,PL_FNB!$B:$B,PL_Consol!$B40)</f>
        <v>16.436288193268901</v>
      </c>
      <c r="K40" s="118">
        <f>SUMIFS(PL_Kochi!J:J,PL_Kochi!$B:$B,PL_Consol!$B40)+SUMIFS(PL_Calicut!J:J,PL_Calicut!$B:$B,PL_Consol!$B40)+SUMIFS(PL_FNB!J:J,PL_FNB!$B:$B,PL_Consol!$B40)</f>
        <v>16.437642250246878</v>
      </c>
      <c r="L40" s="118">
        <f>SUMIFS(PL_Kochi!K:K,PL_Kochi!$B:$B,PL_Consol!$B40)+SUMIFS(PL_Calicut!K:K,PL_Calicut!$B:$B,PL_Consol!$B40)+SUMIFS(PL_FNB!K:K,PL_FNB!$B:$B,PL_Consol!$B40)</f>
        <v>16.43624604057413</v>
      </c>
      <c r="M40" s="118">
        <f>SUMIFS(PL_Kochi!L:L,PL_Kochi!$B:$B,PL_Consol!$B40)+SUMIFS(PL_Calicut!L:L,PL_Calicut!$B:$B,PL_Consol!$B40)+SUMIFS(PL_FNB!L:L,PL_FNB!$B:$B,PL_Consol!$B40)</f>
        <v>16.43629660840789</v>
      </c>
      <c r="N40" s="118">
        <f>SUMIFS(PL_Kochi!M:M,PL_Kochi!$B:$B,PL_Consol!$B40)+SUMIFS(PL_Calicut!M:M,PL_Calicut!$B:$B,PL_Consol!$B40)+SUMIFS(PL_FNB!M:M,PL_FNB!$B:$B,PL_Consol!$B40)</f>
        <v>16.436200097993307</v>
      </c>
      <c r="O40" s="118">
        <v>227.35173439820593</v>
      </c>
      <c r="P40" s="118">
        <f>SUM(D40:O40)</f>
        <v>619.08727589450848</v>
      </c>
      <c r="Q40" s="118">
        <v>2741.5291699541458</v>
      </c>
      <c r="R40" s="118">
        <v>2604.81</v>
      </c>
      <c r="S40" s="118">
        <v>198.4</v>
      </c>
      <c r="T40" s="122">
        <f>SUMIFS(PL_Kochi!S:S,PL_Kochi!$B:$B,PL_Consol!$B40)+SUMIFS(PL_Calicut!S:S,PL_Calicut!$B:$B,PL_Consol!$B40)+SUMIFS(PL_FNB!S:S,PL_FNB!$B:$B,PL_Consol!$B40)</f>
        <v>197.24263350025825</v>
      </c>
      <c r="U40" s="118">
        <v>250</v>
      </c>
      <c r="V40" s="157">
        <f>IFERROR(T40/E40-1,"-")</f>
        <v>10.998968822886745</v>
      </c>
      <c r="W40" s="159">
        <f t="shared" si="8"/>
        <v>-0.12734336280671188</v>
      </c>
      <c r="X40" s="149">
        <f t="shared" si="5"/>
        <v>0.79359999999999997</v>
      </c>
    </row>
    <row r="41" spans="2:24" x14ac:dyDescent="0.35">
      <c r="B41" s="127" t="s">
        <v>336</v>
      </c>
      <c r="C41" s="67"/>
      <c r="D41" s="119">
        <f>D39-D40</f>
        <v>665.50256582886573</v>
      </c>
      <c r="E41" s="119">
        <f t="shared" ref="E41:P41" si="12">E39-E40</f>
        <v>873.3061154661408</v>
      </c>
      <c r="F41" s="119">
        <f t="shared" si="12"/>
        <v>498.89811666939397</v>
      </c>
      <c r="G41" s="119">
        <f t="shared" si="12"/>
        <v>831.38159310993888</v>
      </c>
      <c r="H41" s="119">
        <f t="shared" si="12"/>
        <v>989.25313558971561</v>
      </c>
      <c r="I41" s="119">
        <f t="shared" si="12"/>
        <v>883.72147637449473</v>
      </c>
      <c r="J41" s="119">
        <f t="shared" si="12"/>
        <v>808.0456384850122</v>
      </c>
      <c r="K41" s="119">
        <f t="shared" si="12"/>
        <v>679.58067433380893</v>
      </c>
      <c r="L41" s="119">
        <f t="shared" si="12"/>
        <v>730.16055233501993</v>
      </c>
      <c r="M41" s="119">
        <f t="shared" si="12"/>
        <v>1260.5086582244919</v>
      </c>
      <c r="N41" s="119">
        <f t="shared" si="12"/>
        <v>868.84600071326565</v>
      </c>
      <c r="O41" s="119">
        <f t="shared" si="12"/>
        <v>575.43035539199286</v>
      </c>
      <c r="P41" s="119">
        <f t="shared" si="12"/>
        <v>9664.6348825221467</v>
      </c>
      <c r="Q41" s="119">
        <f>Q39-Q40</f>
        <v>7044.9572779102991</v>
      </c>
      <c r="R41" s="119">
        <f>R39-R40</f>
        <v>5296.5999999999967</v>
      </c>
      <c r="S41" s="119">
        <f>S39-S40</f>
        <v>911.82969833495338</v>
      </c>
      <c r="T41" s="119">
        <f>T39-T40</f>
        <v>1033.6359909247362</v>
      </c>
      <c r="U41" s="119">
        <f>U39-U40</f>
        <v>703.25732774844118</v>
      </c>
      <c r="V41" s="160">
        <f t="shared" si="7"/>
        <v>0.370137013971229</v>
      </c>
      <c r="W41" s="160">
        <f t="shared" si="8"/>
        <v>0.58460479151086764</v>
      </c>
      <c r="X41" s="153">
        <f t="shared" si="5"/>
        <v>1.2965804441089588</v>
      </c>
    </row>
    <row r="42" spans="2:24" x14ac:dyDescent="0.35">
      <c r="B42" s="126" t="s">
        <v>204</v>
      </c>
      <c r="C42" s="67">
        <v>29</v>
      </c>
      <c r="D42" s="118">
        <f>SUMIFS(PL_Kochi!C:C,PL_Kochi!$B:$B,PL_Consol!$B42)+SUMIFS(PL_Calicut!C:C,PL_Calicut!$B:$B,PL_Consol!$B42)+SUMIFS(PL_FNB!C:C,PL_FNB!$B:$B,PL_Consol!$B42)</f>
        <v>0.36520933467013927</v>
      </c>
      <c r="E42" s="118">
        <f>SUMIFS(PL_Kochi!D:D,PL_Kochi!$B:$B,PL_Consol!$B42)+SUMIFS(PL_Calicut!D:D,PL_Calicut!$B:$B,PL_Consol!$B42)+SUMIFS(PL_FNB!D:D,PL_FNB!$B:$B,PL_Consol!$B42)</f>
        <v>5.7342187699496412</v>
      </c>
      <c r="F42" s="118">
        <f>SUMIFS(PL_Kochi!E:E,PL_Kochi!$B:$B,PL_Consol!$B42)+SUMIFS(PL_Calicut!E:E,PL_Calicut!$B:$B,PL_Consol!$B42)+SUMIFS(PL_FNB!E:E,PL_FNB!$B:$B,PL_Consol!$B42)</f>
        <v>7.4012506013710642</v>
      </c>
      <c r="G42" s="118">
        <f>SUMIFS(PL_Kochi!F:F,PL_Kochi!$B:$B,PL_Consol!$B42)+SUMIFS(PL_Calicut!F:F,PL_Calicut!$B:$B,PL_Consol!$B42)+SUMIFS(PL_FNB!F:F,PL_FNB!$B:$B,PL_Consol!$B42)</f>
        <v>7.3545603009351259</v>
      </c>
      <c r="H42" s="118">
        <f>SUMIFS(PL_Kochi!G:G,PL_Kochi!$B:$B,PL_Consol!$B42)+SUMIFS(PL_Calicut!G:G,PL_Calicut!$B:$B,PL_Consol!$B42)+SUMIFS(PL_FNB!G:G,PL_FNB!$B:$B,PL_Consol!$B42)</f>
        <v>7.244316675553482</v>
      </c>
      <c r="I42" s="118">
        <f>SUMIFS(PL_Kochi!H:H,PL_Kochi!$B:$B,PL_Consol!$B42)+SUMIFS(PL_Calicut!H:H,PL_Calicut!$B:$B,PL_Consol!$B42)+SUMIFS(PL_FNB!H:H,PL_FNB!$B:$B,PL_Consol!$B42)</f>
        <v>6.5759746944135617</v>
      </c>
      <c r="J42" s="118">
        <f>SUMIFS(PL_Kochi!I:I,PL_Kochi!$B:$B,PL_Consol!$B42)+SUMIFS(PL_Calicut!I:I,PL_Calicut!$B:$B,PL_Consol!$B42)+SUMIFS(PL_FNB!I:I,PL_FNB!$B:$B,PL_Consol!$B42)</f>
        <v>2.6668360836511891</v>
      </c>
      <c r="K42" s="118">
        <f>SUMIFS(PL_Kochi!J:J,PL_Kochi!$B:$B,PL_Consol!$B42)+SUMIFS(PL_Calicut!J:J,PL_Calicut!$B:$B,PL_Consol!$B42)+SUMIFS(PL_FNB!J:J,PL_FNB!$B:$B,PL_Consol!$B42)</f>
        <v>3.3780767303273409</v>
      </c>
      <c r="L42" s="118">
        <f>SUMIFS(PL_Kochi!K:K,PL_Kochi!$B:$B,PL_Consol!$B42)+SUMIFS(PL_Calicut!K:K,PL_Calicut!$B:$B,PL_Consol!$B42)+SUMIFS(PL_FNB!K:K,PL_FNB!$B:$B,PL_Consol!$B42)</f>
        <v>2.6934717849672856</v>
      </c>
      <c r="M42" s="118">
        <f>SUMIFS(PL_Kochi!L:L,PL_Kochi!$B:$B,PL_Consol!$B42)+SUMIFS(PL_Calicut!L:L,PL_Calicut!$B:$B,PL_Consol!$B42)+SUMIFS(PL_FNB!L:L,PL_FNB!$B:$B,PL_Consol!$B42)</f>
        <v>2.7732612610500307</v>
      </c>
      <c r="N42" s="118">
        <f>SUMIFS(PL_Kochi!M:M,PL_Kochi!$B:$B,PL_Consol!$B42)+SUMIFS(PL_Calicut!M:M,PL_Calicut!$B:$B,PL_Consol!$B42)+SUMIFS(PL_FNB!M:M,PL_FNB!$B:$B,PL_Consol!$B42)</f>
        <v>2.5378541940368016</v>
      </c>
      <c r="O42" s="118">
        <f>SUMIFS(PL_Kochi!N:N,PL_Kochi!$B:$B,PL_Consol!$B42)+SUMIFS(PL_Calicut!N:N,PL_Calicut!$B:$B,PL_Consol!$B42)+SUMIFS(PL_FNB!N:N,PL_FNB!$B:$B,PL_Consol!$B42)</f>
        <v>13.38973565481513</v>
      </c>
      <c r="P42" s="118">
        <f>SUM(D42:O42)</f>
        <v>62.114766085740797</v>
      </c>
      <c r="Q42" s="118">
        <v>60</v>
      </c>
      <c r="R42" s="118">
        <v>33.229999999999997</v>
      </c>
      <c r="S42" s="118">
        <f>SUMIFS(PL_Kochi!R:R,PL_Kochi!$B:$B,PL_Consol!$B42)+SUMIFS(PL_Calicut!R:R,PL_Calicut!$B:$B,PL_Consol!$B42)+SUMIFS(PL_FNB!R:R,PL_FNB!$B:$B,PL_Consol!$B42)</f>
        <v>1.8106894271000424</v>
      </c>
      <c r="T42" s="118">
        <f>SUMIFS(PL_Kochi!S:S,PL_Kochi!$B:$B,PL_Consol!$B42)+SUMIFS(PL_Calicut!S:S,PL_Calicut!$B:$B,PL_Consol!$B42)+SUMIFS(PL_FNB!S:S,PL_FNB!$B:$B,PL_Consol!$B42)</f>
        <v>2.2113322000000002</v>
      </c>
      <c r="U42" s="118">
        <v>7.8</v>
      </c>
      <c r="V42" s="159">
        <f t="shared" si="7"/>
        <v>3.9579494695432009</v>
      </c>
      <c r="W42" s="159">
        <f t="shared" si="8"/>
        <v>-0.86477033798281944</v>
      </c>
      <c r="X42" s="149">
        <f t="shared" si="5"/>
        <v>0.2321396701410311</v>
      </c>
    </row>
    <row r="43" spans="2:24" x14ac:dyDescent="0.35">
      <c r="B43" s="130" t="s">
        <v>333</v>
      </c>
      <c r="C43" s="67"/>
      <c r="D43" s="119">
        <f>D41-D42</f>
        <v>665.13735649419561</v>
      </c>
      <c r="E43" s="119">
        <f t="shared" ref="E43:P43" si="13">E41-E42</f>
        <v>867.57189669619117</v>
      </c>
      <c r="F43" s="119">
        <f t="shared" si="13"/>
        <v>491.49686606802288</v>
      </c>
      <c r="G43" s="119">
        <f t="shared" si="13"/>
        <v>824.0270328090038</v>
      </c>
      <c r="H43" s="119">
        <f t="shared" si="13"/>
        <v>982.00881891416213</v>
      </c>
      <c r="I43" s="119">
        <f t="shared" si="13"/>
        <v>877.14550168008111</v>
      </c>
      <c r="J43" s="119">
        <f t="shared" si="13"/>
        <v>805.37880240136099</v>
      </c>
      <c r="K43" s="119">
        <f t="shared" si="13"/>
        <v>676.20259760348154</v>
      </c>
      <c r="L43" s="119">
        <f t="shared" si="13"/>
        <v>727.46708055005263</v>
      </c>
      <c r="M43" s="119">
        <f t="shared" si="13"/>
        <v>1257.7353969634419</v>
      </c>
      <c r="N43" s="119">
        <f t="shared" si="13"/>
        <v>866.3081465192289</v>
      </c>
      <c r="O43" s="119">
        <f t="shared" si="13"/>
        <v>562.04061973717774</v>
      </c>
      <c r="P43" s="119">
        <f t="shared" si="13"/>
        <v>9602.5201164364062</v>
      </c>
      <c r="Q43" s="119">
        <f>Q41-Q42</f>
        <v>6984.9572779102991</v>
      </c>
      <c r="R43" s="119">
        <f>R41-R42</f>
        <v>5263.3699999999972</v>
      </c>
      <c r="S43" s="119">
        <f>S41-S42</f>
        <v>910.01900890785339</v>
      </c>
      <c r="T43" s="119">
        <f>T41-T42</f>
        <v>1031.4246587247362</v>
      </c>
      <c r="U43" s="119">
        <f>U41-U42</f>
        <v>695.45732774844123</v>
      </c>
      <c r="V43" s="160">
        <f t="shared" si="7"/>
        <v>0.36816704102199194</v>
      </c>
      <c r="W43" s="160">
        <f t="shared" si="8"/>
        <v>0.61913387920858431</v>
      </c>
      <c r="X43" s="153">
        <f t="shared" si="5"/>
        <v>1.308518830125869</v>
      </c>
    </row>
    <row r="44" spans="2:24" x14ac:dyDescent="0.35">
      <c r="B44" s="126" t="s">
        <v>334</v>
      </c>
      <c r="C44" s="67"/>
      <c r="D44" s="118">
        <f>IF(D43&gt;0,D43*$R$44/$R$43,0)</f>
        <v>172.11983620612361</v>
      </c>
      <c r="E44" s="118">
        <f t="shared" ref="E44:O44" si="14">IF(E43&gt;0,E43*$R$44/$R$43,0)</f>
        <v>224.50450466870976</v>
      </c>
      <c r="F44" s="118">
        <f t="shared" si="14"/>
        <v>127.18630108124053</v>
      </c>
      <c r="G44" s="118">
        <f t="shared" si="14"/>
        <v>213.23625343202551</v>
      </c>
      <c r="H44" s="118">
        <f t="shared" si="14"/>
        <v>254.11773284748512</v>
      </c>
      <c r="I44" s="118">
        <f t="shared" si="14"/>
        <v>226.98189870715998</v>
      </c>
      <c r="J44" s="118">
        <f t="shared" si="14"/>
        <v>208.41058797817792</v>
      </c>
      <c r="K44" s="118">
        <f t="shared" si="14"/>
        <v>174.98322595369402</v>
      </c>
      <c r="L44" s="118">
        <f t="shared" si="14"/>
        <v>188.24910904055449</v>
      </c>
      <c r="M44" s="118">
        <f t="shared" si="14"/>
        <v>325.46842904301769</v>
      </c>
      <c r="N44" s="118">
        <f t="shared" si="14"/>
        <v>224.17747977476805</v>
      </c>
      <c r="O44" s="118">
        <f t="shared" si="14"/>
        <v>145.44114605175605</v>
      </c>
      <c r="P44" s="118">
        <f>SUM(D44:O44)</f>
        <v>2484.8765047847128</v>
      </c>
      <c r="Q44" s="118">
        <v>1757.9740477044645</v>
      </c>
      <c r="R44" s="118">
        <v>1362.02</v>
      </c>
      <c r="S44" s="118">
        <f>IF(S43&gt;0,S43*$R$44/$R$43,0)</f>
        <v>235.48868700332204</v>
      </c>
      <c r="T44" s="118">
        <f>IF(T43&gt;0,T43*$R$44/$R$43,0)</f>
        <v>266.90523631746697</v>
      </c>
      <c r="U44" s="118">
        <v>180</v>
      </c>
      <c r="V44" s="159">
        <f t="shared" si="7"/>
        <v>0.36816704102199194</v>
      </c>
      <c r="W44" s="159">
        <f t="shared" si="8"/>
        <v>0.61913387920858431</v>
      </c>
      <c r="X44" s="149">
        <f t="shared" si="5"/>
        <v>1.3082704833517891</v>
      </c>
    </row>
    <row r="45" spans="2:24" x14ac:dyDescent="0.35">
      <c r="B45" s="131" t="s">
        <v>335</v>
      </c>
      <c r="C45" s="68"/>
      <c r="D45" s="121">
        <f>D43-D44</f>
        <v>493.01752028807198</v>
      </c>
      <c r="E45" s="121">
        <f t="shared" ref="E45:P45" si="15">E43-E44</f>
        <v>643.06739202748145</v>
      </c>
      <c r="F45" s="121">
        <f t="shared" si="15"/>
        <v>364.31056498678237</v>
      </c>
      <c r="G45" s="121">
        <f t="shared" si="15"/>
        <v>610.79077937697832</v>
      </c>
      <c r="H45" s="121">
        <f t="shared" si="15"/>
        <v>727.89108606667696</v>
      </c>
      <c r="I45" s="121">
        <f t="shared" si="15"/>
        <v>650.16360297292113</v>
      </c>
      <c r="J45" s="121">
        <f t="shared" si="15"/>
        <v>596.9682144231831</v>
      </c>
      <c r="K45" s="121">
        <f t="shared" si="15"/>
        <v>501.21937164978749</v>
      </c>
      <c r="L45" s="121">
        <f t="shared" si="15"/>
        <v>539.21797150949817</v>
      </c>
      <c r="M45" s="121">
        <f t="shared" si="15"/>
        <v>932.26696792042412</v>
      </c>
      <c r="N45" s="121">
        <f t="shared" si="15"/>
        <v>642.13066674446088</v>
      </c>
      <c r="O45" s="121">
        <f t="shared" si="15"/>
        <v>416.59947368542169</v>
      </c>
      <c r="P45" s="121">
        <f t="shared" si="15"/>
        <v>7117.6436116516934</v>
      </c>
      <c r="Q45" s="121">
        <f>Q43-Q44</f>
        <v>5226.9832302058348</v>
      </c>
      <c r="R45" s="121">
        <f>R43-R44</f>
        <v>3901.3499999999972</v>
      </c>
      <c r="S45" s="121">
        <f>S43-S44</f>
        <v>674.53032190453132</v>
      </c>
      <c r="T45" s="121">
        <f>T43-T44</f>
        <v>764.5194224072693</v>
      </c>
      <c r="U45" s="121">
        <f>U43-U44</f>
        <v>515.45732774844123</v>
      </c>
      <c r="V45" s="162">
        <f t="shared" si="7"/>
        <v>0.36816704102199194</v>
      </c>
      <c r="W45" s="162">
        <f t="shared" si="8"/>
        <v>0.61913387920858431</v>
      </c>
      <c r="X45" s="154">
        <f t="shared" si="5"/>
        <v>1.3086055539280694</v>
      </c>
    </row>
    <row r="46" spans="2:24" x14ac:dyDescent="0.35">
      <c r="B46"/>
      <c r="C46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40"/>
      <c r="Q46" s="39"/>
      <c r="R46" s="39"/>
      <c r="S46" s="39"/>
      <c r="T46" s="39"/>
    </row>
    <row r="47" spans="2:24" x14ac:dyDescent="0.35">
      <c r="B47"/>
      <c r="C47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40"/>
      <c r="Q47" s="39"/>
      <c r="R47" s="39"/>
      <c r="S47" s="39"/>
      <c r="T47" s="39"/>
    </row>
    <row r="48" spans="2:24" x14ac:dyDescent="0.35">
      <c r="B48"/>
      <c r="C48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40"/>
      <c r="Q48" s="39"/>
      <c r="R48" s="39"/>
      <c r="S48" s="39"/>
      <c r="T48" s="39"/>
    </row>
    <row r="49" spans="2:24" x14ac:dyDescent="0.35">
      <c r="B49"/>
      <c r="C4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40"/>
      <c r="Q49" s="39"/>
      <c r="R49" s="39"/>
      <c r="S49" s="39"/>
      <c r="T49" s="39"/>
    </row>
    <row r="50" spans="2:24" x14ac:dyDescent="0.35">
      <c r="B50"/>
      <c r="C50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40"/>
      <c r="Q50" s="39"/>
      <c r="R50" s="39"/>
      <c r="S50" s="39"/>
      <c r="T50" s="39"/>
    </row>
    <row r="51" spans="2:24" x14ac:dyDescent="0.35"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93"/>
      <c r="Q51" s="53"/>
      <c r="R51" s="53"/>
      <c r="S51" s="53"/>
      <c r="T51" s="53"/>
    </row>
    <row r="52" spans="2:24" ht="15" thickBot="1" x14ac:dyDescent="0.4">
      <c r="B52" s="30" t="s">
        <v>612</v>
      </c>
      <c r="C52" s="30"/>
      <c r="D52" s="31"/>
      <c r="E52" s="31"/>
      <c r="F52" s="173"/>
      <c r="G52" s="173"/>
      <c r="H52" s="173"/>
      <c r="I52" s="31"/>
      <c r="J52" s="31"/>
      <c r="K52" s="31"/>
      <c r="L52" s="31"/>
      <c r="M52" s="31"/>
      <c r="N52" s="31"/>
      <c r="O52" s="31"/>
      <c r="P52" s="94"/>
      <c r="Q52" s="31"/>
      <c r="R52" s="31"/>
      <c r="S52" s="31"/>
      <c r="T52" s="31"/>
      <c r="U52" s="31"/>
      <c r="V52" s="31"/>
      <c r="W52" s="31"/>
      <c r="X52" s="31"/>
    </row>
    <row r="53" spans="2:24" x14ac:dyDescent="0.35">
      <c r="P53" s="8"/>
      <c r="U53" s="138" t="s">
        <v>613</v>
      </c>
    </row>
    <row r="54" spans="2:24" x14ac:dyDescent="0.35">
      <c r="B54" s="33" t="s">
        <v>466</v>
      </c>
      <c r="C54" s="33" t="s">
        <v>609</v>
      </c>
      <c r="D54" s="132">
        <v>45748</v>
      </c>
      <c r="E54" s="34" t="s">
        <v>208</v>
      </c>
      <c r="F54" s="34" t="s">
        <v>209</v>
      </c>
      <c r="G54" s="34" t="s">
        <v>210</v>
      </c>
      <c r="H54" s="34" t="s">
        <v>211</v>
      </c>
      <c r="I54" s="34" t="s">
        <v>212</v>
      </c>
      <c r="J54" s="34" t="s">
        <v>213</v>
      </c>
      <c r="K54" s="34" t="s">
        <v>214</v>
      </c>
      <c r="L54" s="34" t="s">
        <v>215</v>
      </c>
      <c r="M54" s="34" t="s">
        <v>216</v>
      </c>
      <c r="N54" s="34" t="s">
        <v>217</v>
      </c>
      <c r="O54" s="132">
        <v>46082</v>
      </c>
      <c r="P54" s="34" t="s">
        <v>219</v>
      </c>
      <c r="Q54" s="34" t="s">
        <v>613</v>
      </c>
      <c r="R54" s="34" t="s">
        <v>614</v>
      </c>
      <c r="S54" s="132">
        <v>46113</v>
      </c>
      <c r="T54" s="132">
        <v>46143</v>
      </c>
      <c r="U54" s="132">
        <v>46113</v>
      </c>
    </row>
    <row r="55" spans="2:24" x14ac:dyDescent="0.35">
      <c r="B55" s="8" t="s">
        <v>220</v>
      </c>
      <c r="C55" s="8"/>
      <c r="P55" s="98"/>
      <c r="R55" s="101"/>
    </row>
    <row r="56" spans="2:24" x14ac:dyDescent="0.35">
      <c r="B56" s="12" t="s">
        <v>203</v>
      </c>
      <c r="C56" s="67">
        <v>1</v>
      </c>
      <c r="D56" s="51">
        <f>D7/D$15</f>
        <v>0.38270772628072408</v>
      </c>
      <c r="E56" s="51">
        <f t="shared" ref="E56:P56" si="16">E7/E$15</f>
        <v>0.37130272926267599</v>
      </c>
      <c r="F56" s="51">
        <f t="shared" si="16"/>
        <v>0.36891187562375111</v>
      </c>
      <c r="G56" s="51">
        <f t="shared" si="16"/>
        <v>0.3685143556737005</v>
      </c>
      <c r="H56" s="51">
        <f t="shared" si="16"/>
        <v>0.39292089541941172</v>
      </c>
      <c r="I56" s="51">
        <f t="shared" si="16"/>
        <v>0.38047865816920784</v>
      </c>
      <c r="J56" s="51">
        <f t="shared" si="16"/>
        <v>0.39364953642785544</v>
      </c>
      <c r="K56" s="51">
        <f t="shared" si="16"/>
        <v>0.39764623796857129</v>
      </c>
      <c r="L56" s="51">
        <f t="shared" si="16"/>
        <v>0.39606262252896701</v>
      </c>
      <c r="M56" s="51">
        <f t="shared" si="16"/>
        <v>0.3992129770762548</v>
      </c>
      <c r="N56" s="51">
        <f t="shared" si="16"/>
        <v>0.38617961221715041</v>
      </c>
      <c r="O56" s="51">
        <f t="shared" si="16"/>
        <v>0.34420202690802493</v>
      </c>
      <c r="P56" s="99">
        <f t="shared" si="16"/>
        <v>0.38190845272044482</v>
      </c>
      <c r="Q56" s="51">
        <f t="shared" ref="Q56:R63" si="17">Q7/Q$15</f>
        <v>0.40018270146327939</v>
      </c>
      <c r="R56" s="104">
        <f t="shared" si="17"/>
        <v>0.39152696880998322</v>
      </c>
      <c r="S56" s="51">
        <f>IFERROR(S7/S$15,0)</f>
        <v>0.40262653200295534</v>
      </c>
      <c r="T56" s="51">
        <f>IFERROR(T7/T$15,0)</f>
        <v>0.40569301013112852</v>
      </c>
      <c r="U56" s="51">
        <f>IFERROR(U7/U$15,0)</f>
        <v>0.34104141180083219</v>
      </c>
    </row>
    <row r="57" spans="2:24" x14ac:dyDescent="0.35">
      <c r="B57" s="12" t="s">
        <v>200</v>
      </c>
      <c r="C57" s="67">
        <v>2</v>
      </c>
      <c r="D57" s="51">
        <f t="shared" ref="D57:P57" si="18">D8/D$15</f>
        <v>0.28576552307315412</v>
      </c>
      <c r="E57" s="51">
        <f t="shared" si="18"/>
        <v>0.30253799598793224</v>
      </c>
      <c r="F57" s="51">
        <f t="shared" si="18"/>
        <v>0.30273870589578356</v>
      </c>
      <c r="G57" s="51">
        <f t="shared" si="18"/>
        <v>0.30910695300163177</v>
      </c>
      <c r="H57" s="51">
        <f t="shared" si="18"/>
        <v>0.29038513738360905</v>
      </c>
      <c r="I57" s="51">
        <f t="shared" si="18"/>
        <v>0.31165888238974243</v>
      </c>
      <c r="J57" s="51">
        <f t="shared" si="18"/>
        <v>0.29424176698759058</v>
      </c>
      <c r="K57" s="51">
        <f t="shared" si="18"/>
        <v>0.28814942819893896</v>
      </c>
      <c r="L57" s="51">
        <f t="shared" si="18"/>
        <v>0.29498094414724124</v>
      </c>
      <c r="M57" s="51">
        <f t="shared" si="18"/>
        <v>0.2942187984933724</v>
      </c>
      <c r="N57" s="51">
        <f t="shared" si="18"/>
        <v>0.28072119875068918</v>
      </c>
      <c r="O57" s="51">
        <f t="shared" si="18"/>
        <v>0.29476951424688019</v>
      </c>
      <c r="P57" s="99">
        <f t="shared" si="18"/>
        <v>0.29578755176811089</v>
      </c>
      <c r="Q57" s="51">
        <f t="shared" si="17"/>
        <v>0.30992989457083453</v>
      </c>
      <c r="R57" s="104">
        <f t="shared" si="17"/>
        <v>0.3032370853899069</v>
      </c>
      <c r="S57" s="51">
        <f t="shared" ref="S57:U94" si="19">IFERROR(S8/S$15,0)</f>
        <v>0.31997857739773794</v>
      </c>
      <c r="T57" s="51">
        <f t="shared" si="19"/>
        <v>0.32107847189337729</v>
      </c>
      <c r="U57" s="51">
        <f t="shared" si="19"/>
        <v>0.33631401181714848</v>
      </c>
    </row>
    <row r="58" spans="2:24" x14ac:dyDescent="0.35">
      <c r="B58" s="12" t="s">
        <v>202</v>
      </c>
      <c r="C58" s="67">
        <v>3</v>
      </c>
      <c r="D58" s="51">
        <f t="shared" ref="D58:P58" si="20">D9/D$15</f>
        <v>0.18938193236896955</v>
      </c>
      <c r="E58" s="51">
        <f t="shared" si="20"/>
        <v>0.17732361261083926</v>
      </c>
      <c r="F58" s="51">
        <f t="shared" si="20"/>
        <v>0.18168218569952876</v>
      </c>
      <c r="G58" s="51">
        <f t="shared" si="20"/>
        <v>0.18980829001237487</v>
      </c>
      <c r="H58" s="51">
        <f t="shared" si="20"/>
        <v>0.17704937589550712</v>
      </c>
      <c r="I58" s="51">
        <f t="shared" si="20"/>
        <v>0.17671496797472516</v>
      </c>
      <c r="J58" s="51">
        <f t="shared" si="20"/>
        <v>0.17534992055080256</v>
      </c>
      <c r="K58" s="51">
        <f t="shared" si="20"/>
        <v>0.17899791173160048</v>
      </c>
      <c r="L58" s="51">
        <f t="shared" si="20"/>
        <v>0.17434966316974021</v>
      </c>
      <c r="M58" s="51">
        <f t="shared" si="20"/>
        <v>0.17260225237277427</v>
      </c>
      <c r="N58" s="51">
        <f t="shared" si="20"/>
        <v>0.1641892929847707</v>
      </c>
      <c r="O58" s="51">
        <f t="shared" si="20"/>
        <v>0.15363130753388327</v>
      </c>
      <c r="P58" s="99">
        <f t="shared" si="20"/>
        <v>0.17555223211013418</v>
      </c>
      <c r="Q58" s="51">
        <f t="shared" si="17"/>
        <v>0.16133230300001536</v>
      </c>
      <c r="R58" s="104">
        <f t="shared" si="17"/>
        <v>0.16192006592111285</v>
      </c>
      <c r="S58" s="51">
        <f t="shared" si="19"/>
        <v>0.14755795162514884</v>
      </c>
      <c r="T58" s="51">
        <f t="shared" si="19"/>
        <v>0.15390337073247479</v>
      </c>
      <c r="U58" s="51">
        <f t="shared" si="19"/>
        <v>0.16713363510813833</v>
      </c>
    </row>
    <row r="59" spans="2:24" x14ac:dyDescent="0.35">
      <c r="B59" s="12" t="s">
        <v>201</v>
      </c>
      <c r="C59" s="67">
        <v>4</v>
      </c>
      <c r="D59" s="51">
        <f t="shared" ref="D59:P59" si="21">D10/D$15</f>
        <v>9.5666966910054149E-2</v>
      </c>
      <c r="E59" s="51">
        <f t="shared" si="21"/>
        <v>9.2155208209346709E-2</v>
      </c>
      <c r="F59" s="51">
        <f t="shared" si="21"/>
        <v>8.8786090584410143E-2</v>
      </c>
      <c r="G59" s="51">
        <f t="shared" si="21"/>
        <v>8.8891290494943778E-2</v>
      </c>
      <c r="H59" s="51">
        <f t="shared" si="21"/>
        <v>9.5478162373697328E-2</v>
      </c>
      <c r="I59" s="51">
        <f t="shared" si="21"/>
        <v>8.7019206215838737E-2</v>
      </c>
      <c r="J59" s="51">
        <f t="shared" si="21"/>
        <v>8.836359367367165E-2</v>
      </c>
      <c r="K59" s="51">
        <f t="shared" si="21"/>
        <v>8.7388681421280159E-2</v>
      </c>
      <c r="L59" s="51">
        <f t="shared" si="21"/>
        <v>9.2617314854470598E-2</v>
      </c>
      <c r="M59" s="51">
        <f t="shared" si="21"/>
        <v>8.5834919488093783E-2</v>
      </c>
      <c r="N59" s="51">
        <f t="shared" si="21"/>
        <v>8.2469783891182896E-2</v>
      </c>
      <c r="O59" s="51">
        <f t="shared" si="21"/>
        <v>8.6104691410950687E-2</v>
      </c>
      <c r="P59" s="99">
        <f t="shared" si="21"/>
        <v>8.9105539278618834E-2</v>
      </c>
      <c r="Q59" s="51">
        <f t="shared" si="17"/>
        <v>8.1888786336248853E-2</v>
      </c>
      <c r="R59" s="104">
        <f t="shared" si="17"/>
        <v>8.2186223392362104E-2</v>
      </c>
      <c r="S59" s="51">
        <f t="shared" si="19"/>
        <v>8.1639507827158952E-2</v>
      </c>
      <c r="T59" s="51">
        <f t="shared" si="19"/>
        <v>7.7555142982343561E-2</v>
      </c>
      <c r="U59" s="51">
        <f t="shared" si="19"/>
        <v>9.8708848662844267E-2</v>
      </c>
    </row>
    <row r="60" spans="2:24" x14ac:dyDescent="0.35">
      <c r="B60" s="12" t="s">
        <v>261</v>
      </c>
      <c r="C60" s="67">
        <v>5</v>
      </c>
      <c r="D60" s="51">
        <f t="shared" ref="D60:P60" si="22">D11/D$15</f>
        <v>0</v>
      </c>
      <c r="E60" s="51">
        <f t="shared" si="22"/>
        <v>0</v>
      </c>
      <c r="F60" s="51">
        <f t="shared" si="22"/>
        <v>0</v>
      </c>
      <c r="G60" s="51">
        <f t="shared" si="22"/>
        <v>3.3308607756395967E-4</v>
      </c>
      <c r="H60" s="51">
        <f t="shared" si="22"/>
        <v>4.8769499986432057E-4</v>
      </c>
      <c r="I60" s="51">
        <f t="shared" si="22"/>
        <v>7.1043474296824692E-5</v>
      </c>
      <c r="J60" s="51">
        <f t="shared" si="22"/>
        <v>1.2412718902189194E-4</v>
      </c>
      <c r="K60" s="51">
        <f t="shared" si="22"/>
        <v>1.1769776023469477E-4</v>
      </c>
      <c r="L60" s="51">
        <f t="shared" si="22"/>
        <v>1.2581696412416495E-4</v>
      </c>
      <c r="M60" s="51">
        <f t="shared" si="22"/>
        <v>5.533159409602776E-5</v>
      </c>
      <c r="N60" s="51">
        <f t="shared" si="22"/>
        <v>5.8139418037010587E-5</v>
      </c>
      <c r="O60" s="51">
        <f t="shared" si="22"/>
        <v>1.5490669692601319E-4</v>
      </c>
      <c r="P60" s="99">
        <f t="shared" si="22"/>
        <v>1.310206765477589E-4</v>
      </c>
      <c r="Q60" s="51">
        <f t="shared" si="17"/>
        <v>0</v>
      </c>
      <c r="R60" s="104">
        <f t="shared" si="17"/>
        <v>0</v>
      </c>
      <c r="S60" s="51">
        <f t="shared" si="19"/>
        <v>1.4376432718957331E-5</v>
      </c>
      <c r="T60" s="51">
        <f t="shared" si="19"/>
        <v>3.3891033308222491E-5</v>
      </c>
      <c r="U60" s="51">
        <f t="shared" si="19"/>
        <v>0</v>
      </c>
    </row>
    <row r="61" spans="2:24" x14ac:dyDescent="0.35">
      <c r="B61" s="12" t="s">
        <v>508</v>
      </c>
      <c r="C61" s="67">
        <v>6</v>
      </c>
      <c r="D61" s="51">
        <f t="shared" ref="D61:P61" si="23">D12/D$15</f>
        <v>3.9936257310019575E-2</v>
      </c>
      <c r="E61" s="51">
        <f t="shared" si="23"/>
        <v>3.8123982409139764E-2</v>
      </c>
      <c r="F61" s="51">
        <f t="shared" si="23"/>
        <v>3.9213373864521624E-2</v>
      </c>
      <c r="G61" s="51">
        <f t="shared" si="23"/>
        <v>3.9395619271026826E-2</v>
      </c>
      <c r="H61" s="51">
        <f t="shared" si="23"/>
        <v>3.8193194332435627E-2</v>
      </c>
      <c r="I61" s="51">
        <f t="shared" si="23"/>
        <v>3.7598602003047384E-2</v>
      </c>
      <c r="J61" s="51">
        <f t="shared" si="23"/>
        <v>3.7450711566311752E-2</v>
      </c>
      <c r="K61" s="51">
        <f t="shared" si="23"/>
        <v>3.9293319036854957E-2</v>
      </c>
      <c r="L61" s="51">
        <f t="shared" si="23"/>
        <v>3.8296747036779502E-2</v>
      </c>
      <c r="M61" s="51">
        <f t="shared" si="23"/>
        <v>3.6369124816922269E-2</v>
      </c>
      <c r="N61" s="51">
        <f t="shared" si="23"/>
        <v>3.5209983750764083E-2</v>
      </c>
      <c r="O61" s="51">
        <f t="shared" si="23"/>
        <v>3.3511440569933833E-2</v>
      </c>
      <c r="P61" s="99">
        <f t="shared" si="23"/>
        <v>3.7625674790935301E-2</v>
      </c>
      <c r="Q61" s="51">
        <f t="shared" si="17"/>
        <v>3.6769794641829653E-2</v>
      </c>
      <c r="R61" s="104">
        <f t="shared" si="17"/>
        <v>3.9536050560886993E-2</v>
      </c>
      <c r="S61" s="51">
        <f t="shared" si="19"/>
        <v>3.669883252543929E-2</v>
      </c>
      <c r="T61" s="51">
        <f t="shared" si="19"/>
        <v>3.7751067052224752E-2</v>
      </c>
      <c r="U61" s="51">
        <f t="shared" si="19"/>
        <v>3.9500568834266302E-2</v>
      </c>
    </row>
    <row r="62" spans="2:24" x14ac:dyDescent="0.35">
      <c r="B62" s="8" t="s">
        <v>329</v>
      </c>
      <c r="C62" s="67"/>
      <c r="D62" s="81">
        <f t="shared" ref="D62:P62" si="24">D13/D$15</f>
        <v>0.99345840594292145</v>
      </c>
      <c r="E62" s="81">
        <f t="shared" si="24"/>
        <v>0.98144352847993399</v>
      </c>
      <c r="F62" s="81">
        <f t="shared" si="24"/>
        <v>0.9813322316679951</v>
      </c>
      <c r="G62" s="81">
        <f t="shared" si="24"/>
        <v>0.99604959453124176</v>
      </c>
      <c r="H62" s="81">
        <f t="shared" si="24"/>
        <v>0.99451446040452507</v>
      </c>
      <c r="I62" s="81">
        <f t="shared" si="24"/>
        <v>0.99354136022685835</v>
      </c>
      <c r="J62" s="81">
        <f t="shared" si="24"/>
        <v>0.98917965639525385</v>
      </c>
      <c r="K62" s="81">
        <f t="shared" si="24"/>
        <v>0.99159327611748049</v>
      </c>
      <c r="L62" s="81">
        <f t="shared" si="24"/>
        <v>0.99643310870132296</v>
      </c>
      <c r="M62" s="81">
        <f t="shared" si="24"/>
        <v>0.98829340384151365</v>
      </c>
      <c r="N62" s="81">
        <f t="shared" si="24"/>
        <v>0.9488280110125944</v>
      </c>
      <c r="O62" s="81">
        <f t="shared" si="24"/>
        <v>0.91237388736659886</v>
      </c>
      <c r="P62" s="99">
        <f t="shared" si="24"/>
        <v>0.98011047134479168</v>
      </c>
      <c r="Q62" s="81">
        <f t="shared" si="17"/>
        <v>0.99010348001220794</v>
      </c>
      <c r="R62" s="105">
        <f t="shared" si="17"/>
        <v>0.97840639407425212</v>
      </c>
      <c r="S62" s="81">
        <f>IFERROR(S13/S$15,0)</f>
        <v>0.98851577781115918</v>
      </c>
      <c r="T62" s="81">
        <f t="shared" si="19"/>
        <v>0.99601495382485705</v>
      </c>
      <c r="U62" s="81">
        <f t="shared" si="19"/>
        <v>0.9826984762232297</v>
      </c>
    </row>
    <row r="63" spans="2:24" x14ac:dyDescent="0.35">
      <c r="B63" s="12" t="s">
        <v>222</v>
      </c>
      <c r="C63" s="67">
        <v>7</v>
      </c>
      <c r="D63" s="51">
        <f t="shared" ref="D63:P63" si="25">D14/D$15</f>
        <v>6.5415940570784422E-3</v>
      </c>
      <c r="E63" s="51">
        <f t="shared" si="25"/>
        <v>1.8556471520066009E-2</v>
      </c>
      <c r="F63" s="51">
        <f t="shared" si="25"/>
        <v>1.8667768332004862E-2</v>
      </c>
      <c r="G63" s="51">
        <f t="shared" si="25"/>
        <v>3.9504054687583088E-3</v>
      </c>
      <c r="H63" s="51">
        <f t="shared" si="25"/>
        <v>5.4855395954749525E-3</v>
      </c>
      <c r="I63" s="51">
        <f t="shared" si="25"/>
        <v>6.4586397731417255E-3</v>
      </c>
      <c r="J63" s="51">
        <f t="shared" si="25"/>
        <v>1.0820343604746086E-2</v>
      </c>
      <c r="K63" s="51">
        <f t="shared" si="25"/>
        <v>8.4067238825194495E-3</v>
      </c>
      <c r="L63" s="51">
        <f t="shared" si="25"/>
        <v>3.5668912986769885E-3</v>
      </c>
      <c r="M63" s="51">
        <f t="shared" si="25"/>
        <v>1.1706596158486361E-2</v>
      </c>
      <c r="N63" s="51">
        <f t="shared" si="25"/>
        <v>5.1171988987405541E-2</v>
      </c>
      <c r="O63" s="51">
        <f t="shared" si="25"/>
        <v>8.7626112633401129E-2</v>
      </c>
      <c r="P63" s="99">
        <f t="shared" si="25"/>
        <v>1.988952865520828E-2</v>
      </c>
      <c r="Q63" s="51">
        <f t="shared" si="17"/>
        <v>9.896519987792023E-3</v>
      </c>
      <c r="R63" s="104">
        <f t="shared" si="17"/>
        <v>2.1593605925747838E-2</v>
      </c>
      <c r="S63" s="51">
        <f t="shared" si="19"/>
        <v>1.1484222188840876E-2</v>
      </c>
      <c r="T63" s="51">
        <f>IFERROR(T14/T$15,0)</f>
        <v>3.9850461751428983E-3</v>
      </c>
      <c r="U63" s="51">
        <f t="shared" si="19"/>
        <v>1.7301523776770175E-2</v>
      </c>
    </row>
    <row r="64" spans="2:24" x14ac:dyDescent="0.35">
      <c r="B64" s="26" t="s">
        <v>223</v>
      </c>
      <c r="C64" s="26"/>
      <c r="D64" s="79">
        <f>SUM(D62:D63)</f>
        <v>0.99999999999999989</v>
      </c>
      <c r="E64" s="79">
        <f t="shared" ref="E64:P64" si="26">SUM(E62:E63)</f>
        <v>1</v>
      </c>
      <c r="F64" s="79">
        <f t="shared" si="26"/>
        <v>1</v>
      </c>
      <c r="G64" s="79">
        <f t="shared" si="26"/>
        <v>1</v>
      </c>
      <c r="H64" s="79">
        <f t="shared" si="26"/>
        <v>1</v>
      </c>
      <c r="I64" s="79">
        <f t="shared" si="26"/>
        <v>1</v>
      </c>
      <c r="J64" s="79">
        <f t="shared" si="26"/>
        <v>0.99999999999999989</v>
      </c>
      <c r="K64" s="79">
        <f t="shared" si="26"/>
        <v>0.99999999999999989</v>
      </c>
      <c r="L64" s="79">
        <f t="shared" si="26"/>
        <v>1</v>
      </c>
      <c r="M64" s="79">
        <f t="shared" si="26"/>
        <v>1</v>
      </c>
      <c r="N64" s="79">
        <f t="shared" si="26"/>
        <v>0.99999999999999989</v>
      </c>
      <c r="O64" s="79">
        <f t="shared" si="26"/>
        <v>1</v>
      </c>
      <c r="P64" s="79">
        <f t="shared" si="26"/>
        <v>1</v>
      </c>
      <c r="Q64" s="79">
        <f>SUM(Q62:Q63)</f>
        <v>1</v>
      </c>
      <c r="R64" s="79">
        <f>SUM(R62:R63)</f>
        <v>1</v>
      </c>
      <c r="S64" s="79">
        <f t="shared" si="19"/>
        <v>1</v>
      </c>
      <c r="T64" s="79">
        <f t="shared" si="19"/>
        <v>1</v>
      </c>
      <c r="U64" s="79">
        <f t="shared" si="19"/>
        <v>1</v>
      </c>
    </row>
    <row r="65" spans="2:21" x14ac:dyDescent="0.35"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96"/>
      <c r="Q65" s="39"/>
      <c r="R65" s="102"/>
      <c r="S65" s="39"/>
      <c r="T65" s="39"/>
      <c r="U65" s="39"/>
    </row>
    <row r="66" spans="2:21" x14ac:dyDescent="0.35">
      <c r="B66" s="12" t="s">
        <v>268</v>
      </c>
      <c r="C66" s="67">
        <v>8</v>
      </c>
      <c r="D66" s="51">
        <f>D17/D$15</f>
        <v>0.25703798135919081</v>
      </c>
      <c r="E66" s="51">
        <f t="shared" ref="E66:P66" si="27">E17/E$15</f>
        <v>0.30660323743060541</v>
      </c>
      <c r="F66" s="51">
        <f t="shared" si="27"/>
        <v>0.33293587589090273</v>
      </c>
      <c r="G66" s="51">
        <f t="shared" si="27"/>
        <v>0.32636941686891352</v>
      </c>
      <c r="H66" s="51">
        <f t="shared" si="27"/>
        <v>0.30296117370693626</v>
      </c>
      <c r="I66" s="51">
        <f t="shared" si="27"/>
        <v>0.29354039711365437</v>
      </c>
      <c r="J66" s="51">
        <f t="shared" si="27"/>
        <v>0.31148935396264638</v>
      </c>
      <c r="K66" s="51">
        <f t="shared" si="27"/>
        <v>0.30651665948824791</v>
      </c>
      <c r="L66" s="51">
        <f t="shared" si="27"/>
        <v>0.30952348489068615</v>
      </c>
      <c r="M66" s="51">
        <f t="shared" si="27"/>
        <v>0.28888334004379784</v>
      </c>
      <c r="N66" s="51">
        <f t="shared" si="27"/>
        <v>0.28825031125371331</v>
      </c>
      <c r="O66" s="51">
        <f t="shared" si="27"/>
        <v>0.26059773017321447</v>
      </c>
      <c r="P66" s="99">
        <f t="shared" si="27"/>
        <v>0.29848314887588701</v>
      </c>
      <c r="Q66" s="51">
        <f t="shared" ref="Q66:R85" si="28">Q17/Q$15</f>
        <v>0.2769742757771172</v>
      </c>
      <c r="R66" s="104">
        <f t="shared" si="28"/>
        <v>0.3009884253168113</v>
      </c>
      <c r="S66" s="51">
        <f t="shared" si="19"/>
        <v>0.29126499776170911</v>
      </c>
      <c r="T66" s="51">
        <f t="shared" ref="T66" si="29">IFERROR(T17/T$15,0)</f>
        <v>0.30388113694032176</v>
      </c>
      <c r="U66" s="51">
        <f t="shared" si="19"/>
        <v>0.2700044676168446</v>
      </c>
    </row>
    <row r="67" spans="2:21" x14ac:dyDescent="0.35">
      <c r="B67" s="12" t="s">
        <v>205</v>
      </c>
      <c r="C67" s="67">
        <v>9</v>
      </c>
      <c r="D67" s="51">
        <f t="shared" ref="D67:P85" si="30">D18/D$15</f>
        <v>0.18573579811244958</v>
      </c>
      <c r="E67" s="51">
        <f t="shared" si="30"/>
        <v>0.16919999888624057</v>
      </c>
      <c r="F67" s="51">
        <f t="shared" si="30"/>
        <v>0.18267421084410485</v>
      </c>
      <c r="G67" s="51">
        <f t="shared" si="30"/>
        <v>0.17149257745810001</v>
      </c>
      <c r="H67" s="51">
        <f t="shared" si="30"/>
        <v>0.16689227738897117</v>
      </c>
      <c r="I67" s="51">
        <f t="shared" si="30"/>
        <v>0.17108639047391588</v>
      </c>
      <c r="J67" s="51">
        <f t="shared" si="30"/>
        <v>0.16582349348186284</v>
      </c>
      <c r="K67" s="51">
        <f t="shared" si="30"/>
        <v>0.18777958588920268</v>
      </c>
      <c r="L67" s="51">
        <f t="shared" si="30"/>
        <v>0.18486572496123649</v>
      </c>
      <c r="M67" s="51">
        <f t="shared" si="30"/>
        <v>0.16260703468944404</v>
      </c>
      <c r="N67" s="51">
        <f t="shared" si="30"/>
        <v>0.16825809044799833</v>
      </c>
      <c r="O67" s="51">
        <f t="shared" si="30"/>
        <v>0.17358551557552623</v>
      </c>
      <c r="P67" s="99">
        <f t="shared" si="30"/>
        <v>0.17364295249715062</v>
      </c>
      <c r="Q67" s="51">
        <f t="shared" si="28"/>
        <v>0.19402178402903053</v>
      </c>
      <c r="R67" s="104">
        <f t="shared" si="28"/>
        <v>0.18152615909188213</v>
      </c>
      <c r="S67" s="51">
        <f t="shared" si="19"/>
        <v>0.16713935778942429</v>
      </c>
      <c r="T67" s="51">
        <f t="shared" ref="T67" si="31">IFERROR(T18/T$15,0)</f>
        <v>0.1564849008982914</v>
      </c>
      <c r="U67" s="51">
        <f t="shared" si="19"/>
        <v>0.16843811507543452</v>
      </c>
    </row>
    <row r="68" spans="2:21" x14ac:dyDescent="0.35">
      <c r="B68" s="12" t="s">
        <v>272</v>
      </c>
      <c r="C68" s="67">
        <v>10</v>
      </c>
      <c r="D68" s="51">
        <f t="shared" si="30"/>
        <v>0.16476882484773189</v>
      </c>
      <c r="E68" s="51">
        <f t="shared" si="30"/>
        <v>0.16787306550753295</v>
      </c>
      <c r="F68" s="51">
        <f t="shared" si="30"/>
        <v>0.18336521227803357</v>
      </c>
      <c r="G68" s="51">
        <f t="shared" si="30"/>
        <v>0.16046199826761043</v>
      </c>
      <c r="H68" s="51">
        <f t="shared" si="30"/>
        <v>0.15443248250841432</v>
      </c>
      <c r="I68" s="51">
        <f t="shared" si="30"/>
        <v>0.17223822874942571</v>
      </c>
      <c r="J68" s="51">
        <f t="shared" si="30"/>
        <v>0.16358143986891435</v>
      </c>
      <c r="K68" s="51">
        <f t="shared" si="30"/>
        <v>0.16900958499985178</v>
      </c>
      <c r="L68" s="51">
        <f t="shared" si="30"/>
        <v>0.16639270548405943</v>
      </c>
      <c r="M68" s="51">
        <f t="shared" si="30"/>
        <v>0.14171423230686869</v>
      </c>
      <c r="N68" s="51">
        <f t="shared" si="30"/>
        <v>0.15810893934348966</v>
      </c>
      <c r="O68" s="51">
        <f t="shared" si="30"/>
        <v>0.16579473966393013</v>
      </c>
      <c r="P68" s="99">
        <f t="shared" si="30"/>
        <v>0.16345296705773907</v>
      </c>
      <c r="Q68" s="51">
        <f t="shared" si="28"/>
        <v>0.20186151488249698</v>
      </c>
      <c r="R68" s="104">
        <f t="shared" si="28"/>
        <v>0.17800843868054095</v>
      </c>
      <c r="S68" s="51">
        <f t="shared" si="19"/>
        <v>0.1538399410454046</v>
      </c>
      <c r="T68" s="51">
        <f t="shared" ref="T68" si="32">IFERROR(T19/T$15,0)</f>
        <v>0.14909342773704684</v>
      </c>
      <c r="U68" s="51">
        <f t="shared" si="19"/>
        <v>0.17985803619264126</v>
      </c>
    </row>
    <row r="69" spans="2:21" x14ac:dyDescent="0.35">
      <c r="B69" s="12" t="s">
        <v>278</v>
      </c>
      <c r="C69" s="67">
        <v>11</v>
      </c>
      <c r="D69" s="51">
        <f t="shared" si="30"/>
        <v>2.645864614407158E-2</v>
      </c>
      <c r="E69" s="51">
        <f t="shared" si="30"/>
        <v>2.558739631654099E-2</v>
      </c>
      <c r="F69" s="51">
        <f t="shared" si="30"/>
        <v>3.1193734100849347E-2</v>
      </c>
      <c r="G69" s="51">
        <f t="shared" si="30"/>
        <v>2.4995789900253185E-2</v>
      </c>
      <c r="H69" s="51">
        <f t="shared" si="30"/>
        <v>2.2607744326892224E-2</v>
      </c>
      <c r="I69" s="51">
        <f t="shared" si="30"/>
        <v>2.4750987647055328E-2</v>
      </c>
      <c r="J69" s="51">
        <f t="shared" si="30"/>
        <v>2.7688266067467476E-2</v>
      </c>
      <c r="K69" s="51">
        <f t="shared" si="30"/>
        <v>2.5169026183121401E-2</v>
      </c>
      <c r="L69" s="51">
        <f t="shared" si="30"/>
        <v>2.6490493615166488E-2</v>
      </c>
      <c r="M69" s="51">
        <f t="shared" si="30"/>
        <v>2.4420051011646224E-2</v>
      </c>
      <c r="N69" s="51">
        <f t="shared" si="30"/>
        <v>2.2451897151200488E-2</v>
      </c>
      <c r="O69" s="51">
        <f t="shared" si="30"/>
        <v>3.0303641033811599E-2</v>
      </c>
      <c r="P69" s="99">
        <f t="shared" si="30"/>
        <v>2.5926880427170135E-2</v>
      </c>
      <c r="Q69" s="51">
        <f t="shared" si="28"/>
        <v>2.5930634046754747E-2</v>
      </c>
      <c r="R69" s="104">
        <f t="shared" si="28"/>
        <v>2.9960635205297768E-2</v>
      </c>
      <c r="S69" s="51">
        <f t="shared" si="19"/>
        <v>2.545429016289108E-2</v>
      </c>
      <c r="T69" s="51">
        <f t="shared" ref="T69" si="33">IFERROR(T20/T$15,0)</f>
        <v>2.3638512439572008E-2</v>
      </c>
      <c r="U69" s="51">
        <f t="shared" si="19"/>
        <v>2.7325422472835436E-2</v>
      </c>
    </row>
    <row r="70" spans="2:21" x14ac:dyDescent="0.35">
      <c r="B70" s="12" t="s">
        <v>289</v>
      </c>
      <c r="C70" s="67">
        <v>12</v>
      </c>
      <c r="D70" s="51">
        <f t="shared" si="30"/>
        <v>2.1376789471406303E-2</v>
      </c>
      <c r="E70" s="51">
        <f t="shared" si="30"/>
        <v>2.3778668098097346E-2</v>
      </c>
      <c r="F70" s="51">
        <f t="shared" si="30"/>
        <v>3.6991613429696063E-2</v>
      </c>
      <c r="G70" s="51">
        <f t="shared" si="30"/>
        <v>3.2107784630684005E-2</v>
      </c>
      <c r="H70" s="51">
        <f t="shared" si="30"/>
        <v>3.4246085632389046E-2</v>
      </c>
      <c r="I70" s="51">
        <f t="shared" si="30"/>
        <v>3.8815954182520873E-2</v>
      </c>
      <c r="J70" s="51">
        <f t="shared" si="30"/>
        <v>4.0588520775093041E-2</v>
      </c>
      <c r="K70" s="51">
        <f t="shared" si="30"/>
        <v>3.6661409291152358E-2</v>
      </c>
      <c r="L70" s="51">
        <f t="shared" si="30"/>
        <v>2.699262222241007E-2</v>
      </c>
      <c r="M70" s="51">
        <f t="shared" si="30"/>
        <v>2.1015660230046761E-2</v>
      </c>
      <c r="N70" s="51">
        <f t="shared" si="30"/>
        <v>4.6837606891107643E-2</v>
      </c>
      <c r="O70" s="51">
        <f t="shared" si="30"/>
        <v>4.6315734651390446E-2</v>
      </c>
      <c r="P70" s="99">
        <f t="shared" si="30"/>
        <v>3.3938522471720377E-2</v>
      </c>
      <c r="Q70" s="51">
        <f t="shared" si="28"/>
        <v>2.5306142589824124E-2</v>
      </c>
      <c r="R70" s="104">
        <f t="shared" si="28"/>
        <v>3.1948838755393234E-2</v>
      </c>
      <c r="S70" s="51">
        <f t="shared" si="19"/>
        <v>2.68016874284925E-2</v>
      </c>
      <c r="T70" s="51">
        <f t="shared" ref="T70" si="34">IFERROR(T21/T$15,0)</f>
        <v>1.7931533881828322E-2</v>
      </c>
      <c r="U70" s="51">
        <f t="shared" si="19"/>
        <v>5.3552335499526729E-3</v>
      </c>
    </row>
    <row r="71" spans="2:21" x14ac:dyDescent="0.35">
      <c r="B71" s="12" t="s">
        <v>311</v>
      </c>
      <c r="C71" s="67">
        <v>13</v>
      </c>
      <c r="D71" s="51">
        <f t="shared" si="30"/>
        <v>2.3703132070275672E-2</v>
      </c>
      <c r="E71" s="51">
        <f t="shared" si="30"/>
        <v>1.544998365650066E-2</v>
      </c>
      <c r="F71" s="51">
        <f t="shared" si="30"/>
        <v>1.7693703024166983E-2</v>
      </c>
      <c r="G71" s="51">
        <f t="shared" si="30"/>
        <v>1.2976993953219473E-2</v>
      </c>
      <c r="H71" s="51">
        <f t="shared" si="30"/>
        <v>1.6478966701031311E-2</v>
      </c>
      <c r="I71" s="51">
        <f t="shared" si="30"/>
        <v>2.1448384987081265E-2</v>
      </c>
      <c r="J71" s="51">
        <f t="shared" si="30"/>
        <v>2.0731451905194421E-2</v>
      </c>
      <c r="K71" s="51">
        <f t="shared" si="30"/>
        <v>2.0349137527025933E-2</v>
      </c>
      <c r="L71" s="51">
        <f t="shared" si="30"/>
        <v>2.0828767460170407E-2</v>
      </c>
      <c r="M71" s="51">
        <f t="shared" si="30"/>
        <v>1.7241537512007504E-2</v>
      </c>
      <c r="N71" s="51">
        <f t="shared" si="30"/>
        <v>2.75052470935413E-2</v>
      </c>
      <c r="O71" s="51">
        <f t="shared" si="30"/>
        <v>1.5764281749160152E-2</v>
      </c>
      <c r="P71" s="99">
        <f t="shared" si="30"/>
        <v>1.9140370606475769E-2</v>
      </c>
      <c r="Q71" s="51">
        <f t="shared" si="28"/>
        <v>2.4006034363448194E-2</v>
      </c>
      <c r="R71" s="104">
        <f t="shared" si="28"/>
        <v>1.6915123960859375E-2</v>
      </c>
      <c r="S71" s="51">
        <f t="shared" si="19"/>
        <v>1.6831494801923811E-2</v>
      </c>
      <c r="T71" s="51">
        <f t="shared" ref="T71" si="35">IFERROR(T22/T$15,0)</f>
        <v>1.1587254024962558E-2</v>
      </c>
      <c r="U71" s="51">
        <f t="shared" si="19"/>
        <v>3.9820967422725005E-3</v>
      </c>
    </row>
    <row r="72" spans="2:21" x14ac:dyDescent="0.35">
      <c r="B72" s="12" t="s">
        <v>206</v>
      </c>
      <c r="C72" s="67">
        <v>14</v>
      </c>
      <c r="D72" s="51">
        <f t="shared" si="30"/>
        <v>4.985711679045904E-3</v>
      </c>
      <c r="E72" s="51">
        <f t="shared" si="30"/>
        <v>4.9744100003107534E-3</v>
      </c>
      <c r="F72" s="51">
        <f t="shared" si="30"/>
        <v>6.3624045271239308E-3</v>
      </c>
      <c r="G72" s="51">
        <f t="shared" si="30"/>
        <v>4.6909065106213177E-3</v>
      </c>
      <c r="H72" s="51">
        <f t="shared" si="30"/>
        <v>6.5860238402435396E-3</v>
      </c>
      <c r="I72" s="51">
        <f t="shared" si="30"/>
        <v>4.2396672305578999E-3</v>
      </c>
      <c r="J72" s="51">
        <f t="shared" si="30"/>
        <v>5.7717394981701689E-3</v>
      </c>
      <c r="K72" s="51">
        <f t="shared" si="30"/>
        <v>2.614557898487766E-3</v>
      </c>
      <c r="L72" s="51">
        <f t="shared" si="30"/>
        <v>1.0091413850029957E-2</v>
      </c>
      <c r="M72" s="51">
        <f t="shared" si="30"/>
        <v>6.9920586687482198E-3</v>
      </c>
      <c r="N72" s="51">
        <f t="shared" si="30"/>
        <v>6.7397621364060703E-3</v>
      </c>
      <c r="O72" s="51">
        <f t="shared" si="30"/>
        <v>5.4877459946213536E-3</v>
      </c>
      <c r="P72" s="99">
        <f t="shared" si="30"/>
        <v>5.823033568567307E-3</v>
      </c>
      <c r="Q72" s="51">
        <f t="shared" si="28"/>
        <v>5.4559128599056522E-3</v>
      </c>
      <c r="R72" s="104">
        <f t="shared" si="28"/>
        <v>5.7190316731937918E-3</v>
      </c>
      <c r="S72" s="51">
        <f t="shared" si="19"/>
        <v>5.6326902887624004E-3</v>
      </c>
      <c r="T72" s="51">
        <f t="shared" ref="T72" si="36">IFERROR(T23/T$15,0)</f>
        <v>6.665692949865641E-3</v>
      </c>
      <c r="U72" s="51">
        <f t="shared" si="19"/>
        <v>3.1193091147801257E-2</v>
      </c>
    </row>
    <row r="73" spans="2:21" x14ac:dyDescent="0.35">
      <c r="B73" s="12" t="s">
        <v>288</v>
      </c>
      <c r="C73" s="67">
        <v>15</v>
      </c>
      <c r="D73" s="51">
        <f t="shared" si="30"/>
        <v>6.7251186836525395E-3</v>
      </c>
      <c r="E73" s="51">
        <f t="shared" si="30"/>
        <v>5.7243674945940482E-3</v>
      </c>
      <c r="F73" s="51">
        <f t="shared" si="30"/>
        <v>7.1250961855097595E-3</v>
      </c>
      <c r="G73" s="51">
        <f t="shared" si="30"/>
        <v>4.3271236252094489E-3</v>
      </c>
      <c r="H73" s="51">
        <f t="shared" si="30"/>
        <v>6.628249719025898E-3</v>
      </c>
      <c r="I73" s="51">
        <f t="shared" si="30"/>
        <v>6.6889664891684672E-3</v>
      </c>
      <c r="J73" s="51">
        <f t="shared" si="30"/>
        <v>5.4007099212686205E-3</v>
      </c>
      <c r="K73" s="51">
        <f t="shared" si="30"/>
        <v>6.020830095430591E-3</v>
      </c>
      <c r="L73" s="51">
        <f t="shared" si="30"/>
        <v>6.5903441830803284E-3</v>
      </c>
      <c r="M73" s="51">
        <f t="shared" si="30"/>
        <v>5.4355983546090208E-3</v>
      </c>
      <c r="N73" s="51">
        <f t="shared" si="30"/>
        <v>5.7057851041372671E-3</v>
      </c>
      <c r="O73" s="51">
        <f t="shared" si="30"/>
        <v>7.8235374354216573E-3</v>
      </c>
      <c r="P73" s="99">
        <f t="shared" si="30"/>
        <v>6.1639229937102873E-3</v>
      </c>
      <c r="Q73" s="51">
        <f t="shared" si="28"/>
        <v>3.5712246575492872E-3</v>
      </c>
      <c r="R73" s="104">
        <f t="shared" si="28"/>
        <v>4.3028034487851176E-3</v>
      </c>
      <c r="S73" s="51">
        <f t="shared" si="19"/>
        <v>5.300916712738581E-3</v>
      </c>
      <c r="T73" s="51">
        <f t="shared" ref="T73" si="37">IFERROR(T24/T$15,0)</f>
        <v>5.2166976365881331E-3</v>
      </c>
      <c r="U73" s="51">
        <f t="shared" si="19"/>
        <v>2.2588100486338841E-2</v>
      </c>
    </row>
    <row r="74" spans="2:21" x14ac:dyDescent="0.35">
      <c r="B74" s="12" t="s">
        <v>534</v>
      </c>
      <c r="C74" s="67">
        <v>16</v>
      </c>
      <c r="D74" s="51">
        <f t="shared" si="30"/>
        <v>1.9638275072600735E-2</v>
      </c>
      <c r="E74" s="51">
        <f t="shared" si="30"/>
        <v>1.9211707224506169E-2</v>
      </c>
      <c r="F74" s="51">
        <f t="shared" si="30"/>
        <v>2.3366355667850957E-2</v>
      </c>
      <c r="G74" s="51">
        <f t="shared" si="30"/>
        <v>1.9017268636346122E-2</v>
      </c>
      <c r="H74" s="51">
        <f t="shared" si="30"/>
        <v>1.6840716254808954E-2</v>
      </c>
      <c r="I74" s="51">
        <f t="shared" si="30"/>
        <v>1.8974615832887919E-2</v>
      </c>
      <c r="J74" s="51">
        <f t="shared" si="30"/>
        <v>2.2323283850492023E-2</v>
      </c>
      <c r="K74" s="51">
        <f t="shared" si="30"/>
        <v>1.8001831979145917E-2</v>
      </c>
      <c r="L74" s="51">
        <f t="shared" si="30"/>
        <v>1.8289768015794752E-2</v>
      </c>
      <c r="M74" s="51">
        <f t="shared" si="30"/>
        <v>1.1506559330831341E-2</v>
      </c>
      <c r="N74" s="51">
        <f t="shared" si="30"/>
        <v>2.9761187484310191E-2</v>
      </c>
      <c r="O74" s="51">
        <f t="shared" si="30"/>
        <v>4.5591716702204764E-2</v>
      </c>
      <c r="P74" s="99">
        <f t="shared" si="30"/>
        <v>2.1925196863651675E-2</v>
      </c>
      <c r="Q74" s="51">
        <f t="shared" si="28"/>
        <v>1.8372592447893518E-2</v>
      </c>
      <c r="R74" s="104">
        <f t="shared" si="28"/>
        <v>2.4742623129835512E-2</v>
      </c>
      <c r="S74" s="51">
        <f t="shared" si="19"/>
        <v>2.0876470417977078E-2</v>
      </c>
      <c r="T74" s="51">
        <f t="shared" ref="T74" si="38">IFERROR(T25/T$15,0)</f>
        <v>2.5770700629045993E-2</v>
      </c>
      <c r="U74" s="51">
        <f t="shared" si="19"/>
        <v>7.0258833326302169E-3</v>
      </c>
    </row>
    <row r="75" spans="2:21" x14ac:dyDescent="0.35">
      <c r="B75" s="12" t="s">
        <v>535</v>
      </c>
      <c r="C75" s="67">
        <v>17</v>
      </c>
      <c r="D75" s="51">
        <f t="shared" si="30"/>
        <v>6.1778152132782212E-3</v>
      </c>
      <c r="E75" s="51">
        <f t="shared" si="30"/>
        <v>6.3161464089869813E-3</v>
      </c>
      <c r="F75" s="51">
        <f t="shared" si="30"/>
        <v>7.0143662214606087E-3</v>
      </c>
      <c r="G75" s="51">
        <f t="shared" si="30"/>
        <v>5.9584741874954619E-3</v>
      </c>
      <c r="H75" s="51">
        <f t="shared" si="30"/>
        <v>4.9186860104940182E-3</v>
      </c>
      <c r="I75" s="51">
        <f t="shared" si="30"/>
        <v>4.8162149044545226E-3</v>
      </c>
      <c r="J75" s="51">
        <f t="shared" si="30"/>
        <v>6.4657699524090506E-3</v>
      </c>
      <c r="K75" s="51">
        <f t="shared" si="30"/>
        <v>5.9713757648397169E-3</v>
      </c>
      <c r="L75" s="51">
        <f t="shared" si="30"/>
        <v>5.7375060361137794E-3</v>
      </c>
      <c r="M75" s="51">
        <f t="shared" si="30"/>
        <v>5.2602259175700168E-3</v>
      </c>
      <c r="N75" s="51">
        <f t="shared" si="30"/>
        <v>5.2011769708326678E-3</v>
      </c>
      <c r="O75" s="51">
        <f t="shared" si="30"/>
        <v>5.7798256714305472E-3</v>
      </c>
      <c r="P75" s="99">
        <f t="shared" si="30"/>
        <v>5.7702993522872103E-3</v>
      </c>
      <c r="Q75" s="51">
        <f t="shared" si="28"/>
        <v>4.7911037936791637E-3</v>
      </c>
      <c r="R75" s="104">
        <f t="shared" si="28"/>
        <v>5.4751363913408029E-3</v>
      </c>
      <c r="S75" s="51">
        <f t="shared" si="19"/>
        <v>5.6312268678105409E-3</v>
      </c>
      <c r="T75" s="51">
        <f t="shared" ref="T75" si="39">IFERROR(T26/T$15,0)</f>
        <v>4.2449468167481304E-3</v>
      </c>
      <c r="U75" s="51">
        <f t="shared" si="19"/>
        <v>3.936325515349828E-3</v>
      </c>
    </row>
    <row r="76" spans="2:21" x14ac:dyDescent="0.35">
      <c r="B76" s="12" t="s">
        <v>310</v>
      </c>
      <c r="C76" s="67">
        <v>18</v>
      </c>
      <c r="D76" s="51">
        <f t="shared" si="30"/>
        <v>3.3910303261461315E-3</v>
      </c>
      <c r="E76" s="51">
        <f t="shared" si="30"/>
        <v>4.6480814219032902E-3</v>
      </c>
      <c r="F76" s="51">
        <f t="shared" si="30"/>
        <v>4.011741912350663E-3</v>
      </c>
      <c r="G76" s="51">
        <f t="shared" si="30"/>
        <v>4.2637569195556509E-3</v>
      </c>
      <c r="H76" s="51">
        <f t="shared" si="30"/>
        <v>3.4563170388210332E-3</v>
      </c>
      <c r="I76" s="51">
        <f t="shared" si="30"/>
        <v>3.6391214212074738E-3</v>
      </c>
      <c r="J76" s="51">
        <f t="shared" si="30"/>
        <v>4.5827807938784914E-3</v>
      </c>
      <c r="K76" s="51">
        <f t="shared" si="30"/>
        <v>3.301208319521342E-3</v>
      </c>
      <c r="L76" s="51">
        <f t="shared" si="30"/>
        <v>3.7512332977288655E-3</v>
      </c>
      <c r="M76" s="51">
        <f t="shared" si="30"/>
        <v>3.307322219302591E-3</v>
      </c>
      <c r="N76" s="51">
        <f t="shared" si="30"/>
        <v>4.4422219429227985E-3</v>
      </c>
      <c r="O76" s="51">
        <f t="shared" si="30"/>
        <v>4.8271691018738619E-3</v>
      </c>
      <c r="P76" s="99">
        <f t="shared" si="30"/>
        <v>3.9758021440039404E-3</v>
      </c>
      <c r="Q76" s="51">
        <f t="shared" si="28"/>
        <v>3.5712246575492872E-3</v>
      </c>
      <c r="R76" s="104">
        <f t="shared" si="28"/>
        <v>4.040146991404976E-3</v>
      </c>
      <c r="S76" s="51">
        <f t="shared" si="19"/>
        <v>4.4226659214256555E-3</v>
      </c>
      <c r="T76" s="51">
        <f t="shared" ref="T76" si="40">IFERROR(T27/T$15,0)</f>
        <v>4.0611618435036348E-3</v>
      </c>
      <c r="U76" s="51">
        <f t="shared" si="19"/>
        <v>6.8656840384008629E-4</v>
      </c>
    </row>
    <row r="77" spans="2:21" x14ac:dyDescent="0.35">
      <c r="B77" s="12" t="s">
        <v>207</v>
      </c>
      <c r="C77" s="67">
        <v>19</v>
      </c>
      <c r="D77" s="51">
        <f t="shared" si="30"/>
        <v>6.7897972332605402E-4</v>
      </c>
      <c r="E77" s="51">
        <f t="shared" si="30"/>
        <v>6.3715289966065195E-4</v>
      </c>
      <c r="F77" s="51">
        <f t="shared" si="30"/>
        <v>5.7848747188685005E-4</v>
      </c>
      <c r="G77" s="51">
        <f t="shared" si="30"/>
        <v>4.70995714477007E-4</v>
      </c>
      <c r="H77" s="51">
        <f t="shared" si="30"/>
        <v>6.5277932309491305E-4</v>
      </c>
      <c r="I77" s="51">
        <f t="shared" si="30"/>
        <v>8.641703402277502E-4</v>
      </c>
      <c r="J77" s="51">
        <f t="shared" si="30"/>
        <v>6.7965602166813815E-4</v>
      </c>
      <c r="K77" s="51">
        <f t="shared" si="30"/>
        <v>8.2517164110768363E-4</v>
      </c>
      <c r="L77" s="51">
        <f t="shared" si="30"/>
        <v>8.390002933687231E-4</v>
      </c>
      <c r="M77" s="51">
        <f t="shared" si="30"/>
        <v>6.2733122583429838E-4</v>
      </c>
      <c r="N77" s="51">
        <f t="shared" si="30"/>
        <v>7.116798562648212E-4</v>
      </c>
      <c r="O77" s="51">
        <f t="shared" si="30"/>
        <v>7.9413367893720207E-4</v>
      </c>
      <c r="P77" s="99">
        <f t="shared" si="30"/>
        <v>6.9652471353457226E-4</v>
      </c>
      <c r="Q77" s="51">
        <f t="shared" si="28"/>
        <v>6.3488438356431773E-4</v>
      </c>
      <c r="R77" s="104">
        <f t="shared" si="28"/>
        <v>5.4792253654941574E-4</v>
      </c>
      <c r="S77" s="51">
        <f t="shared" si="19"/>
        <v>7.0926174550384516E-4</v>
      </c>
      <c r="T77" s="51">
        <f t="shared" ref="T77" si="41">IFERROR(T28/T$15,0)</f>
        <v>7.4324888754752783E-4</v>
      </c>
      <c r="U77" s="51">
        <f t="shared" si="19"/>
        <v>9.6119576537612085E-4</v>
      </c>
    </row>
    <row r="78" spans="2:21" x14ac:dyDescent="0.35">
      <c r="B78" s="12" t="s">
        <v>301</v>
      </c>
      <c r="C78" s="67">
        <v>20</v>
      </c>
      <c r="D78" s="51">
        <f t="shared" si="30"/>
        <v>1.0152247667308152E-3</v>
      </c>
      <c r="E78" s="51">
        <f t="shared" si="30"/>
        <v>1.5726633253528143E-3</v>
      </c>
      <c r="F78" s="51">
        <f t="shared" si="30"/>
        <v>1.3152145791176819E-3</v>
      </c>
      <c r="G78" s="51">
        <f t="shared" si="30"/>
        <v>1.5525424004044423E-3</v>
      </c>
      <c r="H78" s="51">
        <f t="shared" si="30"/>
        <v>7.4024049155792877E-4</v>
      </c>
      <c r="I78" s="51">
        <f t="shared" si="30"/>
        <v>4.0859770641054049E-4</v>
      </c>
      <c r="J78" s="51">
        <f t="shared" si="30"/>
        <v>2.3938200724225884E-3</v>
      </c>
      <c r="K78" s="51">
        <f t="shared" si="30"/>
        <v>4.796842233368608E-4</v>
      </c>
      <c r="L78" s="51">
        <f t="shared" si="30"/>
        <v>5.8871363924605652E-4</v>
      </c>
      <c r="M78" s="51">
        <f t="shared" si="30"/>
        <v>1.0392143376190897E-3</v>
      </c>
      <c r="N78" s="51">
        <f t="shared" si="30"/>
        <v>6.5104807387507835E-4</v>
      </c>
      <c r="O78" s="51">
        <f t="shared" si="30"/>
        <v>3.3445184305434875E-3</v>
      </c>
      <c r="P78" s="99">
        <f t="shared" si="30"/>
        <v>1.2689242940835174E-3</v>
      </c>
      <c r="Q78" s="51">
        <f t="shared" si="28"/>
        <v>1.1761659319631569E-3</v>
      </c>
      <c r="R78" s="104">
        <f t="shared" si="28"/>
        <v>1.5066667115652063E-3</v>
      </c>
      <c r="S78" s="51">
        <f t="shared" si="19"/>
        <v>3.0639439410323706E-4</v>
      </c>
      <c r="T78" s="51">
        <f t="shared" ref="T78" si="42">IFERROR(T29/T$15,0)</f>
        <v>3.0056518201848035E-4</v>
      </c>
      <c r="U78" s="51">
        <f t="shared" si="19"/>
        <v>3.2955283384324143E-3</v>
      </c>
    </row>
    <row r="79" spans="2:21" x14ac:dyDescent="0.35">
      <c r="B79" s="12" t="s">
        <v>302</v>
      </c>
      <c r="C79" s="67">
        <v>21</v>
      </c>
      <c r="D79" s="51">
        <f t="shared" si="30"/>
        <v>9.3145777559189129E-4</v>
      </c>
      <c r="E79" s="51">
        <f t="shared" si="30"/>
        <v>2.9163369697560535E-3</v>
      </c>
      <c r="F79" s="51">
        <f t="shared" si="30"/>
        <v>3.2534463836743975E-3</v>
      </c>
      <c r="G79" s="51">
        <f t="shared" si="30"/>
        <v>5.3337173304079614E-3</v>
      </c>
      <c r="H79" s="51">
        <f t="shared" si="30"/>
        <v>2.1022086154407664E-3</v>
      </c>
      <c r="I79" s="51">
        <f t="shared" si="30"/>
        <v>1.7205325945789441E-3</v>
      </c>
      <c r="J79" s="51">
        <f t="shared" si="30"/>
        <v>4.1517086145678121E-3</v>
      </c>
      <c r="K79" s="51">
        <f t="shared" si="30"/>
        <v>4.8548073874261051E-3</v>
      </c>
      <c r="L79" s="51">
        <f t="shared" si="30"/>
        <v>2.4782852964515913E-3</v>
      </c>
      <c r="M79" s="51">
        <f t="shared" si="30"/>
        <v>4.5973924001404725E-3</v>
      </c>
      <c r="N79" s="51">
        <f t="shared" si="30"/>
        <v>8.8258870690987919E-3</v>
      </c>
      <c r="O79" s="51">
        <f t="shared" si="30"/>
        <v>1.032598231821749E-2</v>
      </c>
      <c r="P79" s="99">
        <f t="shared" si="30"/>
        <v>4.3754964494857676E-3</v>
      </c>
      <c r="Q79" s="51">
        <f t="shared" si="28"/>
        <v>2.9760205479577393E-3</v>
      </c>
      <c r="R79" s="104">
        <f t="shared" si="28"/>
        <v>4.3392674771173785E-3</v>
      </c>
      <c r="S79" s="51">
        <f t="shared" si="19"/>
        <v>3.3475146426542421E-3</v>
      </c>
      <c r="T79" s="51">
        <f t="shared" ref="T79" si="43">IFERROR(T30/T$15,0)</f>
        <v>3.2764298341183542E-3</v>
      </c>
      <c r="U79" s="51">
        <f t="shared" si="19"/>
        <v>1.1442806730668106E-4</v>
      </c>
    </row>
    <row r="80" spans="2:21" x14ac:dyDescent="0.35">
      <c r="B80" s="12" t="s">
        <v>307</v>
      </c>
      <c r="C80" s="67">
        <v>22</v>
      </c>
      <c r="D80" s="51">
        <f t="shared" si="30"/>
        <v>0</v>
      </c>
      <c r="E80" s="51">
        <f t="shared" si="30"/>
        <v>0</v>
      </c>
      <c r="F80" s="51">
        <f t="shared" si="30"/>
        <v>0</v>
      </c>
      <c r="G80" s="51">
        <f t="shared" si="30"/>
        <v>0</v>
      </c>
      <c r="H80" s="51">
        <f t="shared" si="30"/>
        <v>2.0842727035666714E-5</v>
      </c>
      <c r="I80" s="51">
        <f t="shared" si="30"/>
        <v>1.504301324078672E-4</v>
      </c>
      <c r="J80" s="51">
        <f t="shared" si="30"/>
        <v>1.0578676354192261E-4</v>
      </c>
      <c r="K80" s="51">
        <f t="shared" si="30"/>
        <v>1.2025024178195321E-4</v>
      </c>
      <c r="L80" s="51">
        <f t="shared" si="30"/>
        <v>2.364393166321408E-4</v>
      </c>
      <c r="M80" s="51">
        <f t="shared" si="30"/>
        <v>1.4739592712975465E-4</v>
      </c>
      <c r="N80" s="51">
        <f t="shared" si="30"/>
        <v>1.2207235044811097E-5</v>
      </c>
      <c r="O80" s="51">
        <f t="shared" si="30"/>
        <v>6.4299386714035379E-4</v>
      </c>
      <c r="P80" s="99">
        <f t="shared" si="30"/>
        <v>1.2346060875655486E-4</v>
      </c>
      <c r="Q80" s="51">
        <f t="shared" si="28"/>
        <v>8.8897555845725838E-5</v>
      </c>
      <c r="R80" s="104">
        <f t="shared" si="28"/>
        <v>1.6390883800494621E-4</v>
      </c>
      <c r="S80" s="51">
        <f t="shared" si="19"/>
        <v>0</v>
      </c>
      <c r="T80" s="51">
        <f t="shared" ref="T80" si="44">IFERROR(T31/T$15,0)</f>
        <v>0</v>
      </c>
      <c r="U80" s="51">
        <f t="shared" si="19"/>
        <v>2.0207996686359874E-2</v>
      </c>
    </row>
    <row r="81" spans="2:21" x14ac:dyDescent="0.35">
      <c r="B81" s="12" t="s">
        <v>308</v>
      </c>
      <c r="C81" s="67">
        <v>23</v>
      </c>
      <c r="D81" s="51">
        <f t="shared" si="30"/>
        <v>5.5584822478242949E-3</v>
      </c>
      <c r="E81" s="51">
        <f t="shared" si="30"/>
        <v>3.6800014992960308E-4</v>
      </c>
      <c r="F81" s="51">
        <f t="shared" si="30"/>
        <v>4.0870115674195723E-4</v>
      </c>
      <c r="G81" s="51">
        <f t="shared" si="30"/>
        <v>3.5153207237660698E-4</v>
      </c>
      <c r="H81" s="51">
        <f t="shared" si="30"/>
        <v>3.416078267003995E-4</v>
      </c>
      <c r="I81" s="51">
        <f t="shared" si="30"/>
        <v>3.4807307472714175E-4</v>
      </c>
      <c r="J81" s="51">
        <f t="shared" si="30"/>
        <v>3.4875737328534398E-4</v>
      </c>
      <c r="K81" s="51">
        <f t="shared" si="30"/>
        <v>3.9045650203181685E-4</v>
      </c>
      <c r="L81" s="51">
        <f t="shared" si="30"/>
        <v>3.693336828197336E-4</v>
      </c>
      <c r="M81" s="51">
        <f t="shared" si="30"/>
        <v>3.2007281018572235E-4</v>
      </c>
      <c r="N81" s="51">
        <f t="shared" si="30"/>
        <v>3.3883494025781257E-4</v>
      </c>
      <c r="O81" s="51">
        <f t="shared" si="30"/>
        <v>4.6442565215259971E-3</v>
      </c>
      <c r="P81" s="99">
        <f t="shared" si="30"/>
        <v>1.1133947064943992E-3</v>
      </c>
      <c r="Q81" s="51">
        <f t="shared" si="28"/>
        <v>7.3408506849624239E-3</v>
      </c>
      <c r="R81" s="104">
        <f t="shared" si="28"/>
        <v>5.8667157984972776E-3</v>
      </c>
      <c r="S81" s="51">
        <f t="shared" si="19"/>
        <v>3.8610340703223987E-3</v>
      </c>
      <c r="T81" s="51">
        <f t="shared" ref="T81" si="45">IFERROR(T32/T$15,0)</f>
        <v>3.1106139035525415E-4</v>
      </c>
      <c r="U81" s="51">
        <f t="shared" si="19"/>
        <v>2.7073680724760737E-2</v>
      </c>
    </row>
    <row r="82" spans="2:21" x14ac:dyDescent="0.35">
      <c r="B82" s="12" t="s">
        <v>317</v>
      </c>
      <c r="C82" s="67">
        <v>24</v>
      </c>
      <c r="D82" s="51">
        <f t="shared" si="30"/>
        <v>2.0252619563657968E-4</v>
      </c>
      <c r="E82" s="51">
        <f t="shared" si="30"/>
        <v>9.3340296111926518E-4</v>
      </c>
      <c r="F82" s="51">
        <f t="shared" si="30"/>
        <v>7.1984548215763998E-4</v>
      </c>
      <c r="G82" s="51">
        <f t="shared" si="30"/>
        <v>1.0329954869773695E-3</v>
      </c>
      <c r="H82" s="51">
        <f t="shared" si="30"/>
        <v>6.8944918694071558E-4</v>
      </c>
      <c r="I82" s="51">
        <f t="shared" si="30"/>
        <v>7.3430060542480839E-4</v>
      </c>
      <c r="J82" s="51">
        <f t="shared" si="30"/>
        <v>7.895518606545795E-4</v>
      </c>
      <c r="K82" s="51">
        <f t="shared" si="30"/>
        <v>1.4221534642457519E-3</v>
      </c>
      <c r="L82" s="51">
        <f t="shared" si="30"/>
        <v>6.5278437334509963E-4</v>
      </c>
      <c r="M82" s="51">
        <f t="shared" si="30"/>
        <v>7.6974539441886525E-4</v>
      </c>
      <c r="N82" s="51">
        <f t="shared" si="30"/>
        <v>4.9220695720582862E-4</v>
      </c>
      <c r="O82" s="51">
        <f t="shared" si="30"/>
        <v>1.327835598069139E-3</v>
      </c>
      <c r="P82" s="99">
        <f t="shared" si="30"/>
        <v>8.1684547401112187E-4</v>
      </c>
      <c r="Q82" s="51">
        <f t="shared" si="28"/>
        <v>8.3280780731059931E-4</v>
      </c>
      <c r="R82" s="104">
        <f t="shared" si="28"/>
        <v>8.3520027073819459E-4</v>
      </c>
      <c r="S82" s="51">
        <f t="shared" si="19"/>
        <v>2.575803550629655E-4</v>
      </c>
      <c r="T82" s="51">
        <f t="shared" ref="T82" si="46">IFERROR(T33/T$15,0)</f>
        <v>6.0412590209498569E-4</v>
      </c>
      <c r="U82" s="51">
        <f t="shared" si="19"/>
        <v>8.9253892499211221E-4</v>
      </c>
    </row>
    <row r="83" spans="2:21" x14ac:dyDescent="0.35">
      <c r="B83" s="12" t="s">
        <v>325</v>
      </c>
      <c r="C83" s="67">
        <v>25</v>
      </c>
      <c r="D83" s="51">
        <f t="shared" si="30"/>
        <v>3.4140932627216469E-3</v>
      </c>
      <c r="E83" s="51">
        <f t="shared" si="30"/>
        <v>3.5493358938357361E-3</v>
      </c>
      <c r="F83" s="51">
        <f t="shared" si="30"/>
        <v>3.9029777065951285E-3</v>
      </c>
      <c r="G83" s="51">
        <f t="shared" si="30"/>
        <v>3.8461342009070533E-3</v>
      </c>
      <c r="H83" s="51">
        <f t="shared" si="30"/>
        <v>4.6101686085825285E-3</v>
      </c>
      <c r="I83" s="51">
        <f t="shared" si="30"/>
        <v>3.8668361185916571E-3</v>
      </c>
      <c r="J83" s="51">
        <f t="shared" si="30"/>
        <v>3.9417696681983676E-3</v>
      </c>
      <c r="K83" s="51">
        <f t="shared" si="30"/>
        <v>3.6681034238073575E-3</v>
      </c>
      <c r="L83" s="51">
        <f t="shared" si="30"/>
        <v>3.9176835586439331E-3</v>
      </c>
      <c r="M83" s="51">
        <f t="shared" si="30"/>
        <v>3.3465562504600621E-3</v>
      </c>
      <c r="N83" s="51">
        <f t="shared" si="30"/>
        <v>4.115801099629386E-3</v>
      </c>
      <c r="O83" s="51">
        <f t="shared" si="30"/>
        <v>5.1397103251091016E-3</v>
      </c>
      <c r="P83" s="99">
        <f t="shared" si="30"/>
        <v>3.9540736748589203E-3</v>
      </c>
      <c r="Q83" s="51">
        <f t="shared" si="28"/>
        <v>3.7696260274131367E-3</v>
      </c>
      <c r="R83" s="104">
        <f t="shared" si="28"/>
        <v>3.7908596899787904E-3</v>
      </c>
      <c r="S83" s="51">
        <f t="shared" si="19"/>
        <v>4.220596872143734E-3</v>
      </c>
      <c r="T83" s="51">
        <f t="shared" ref="T83" si="47">IFERROR(T34/T$15,0)</f>
        <v>3.1482113338207776E-3</v>
      </c>
      <c r="U83" s="51">
        <f t="shared" si="19"/>
        <v>3.7761262211204747E-3</v>
      </c>
    </row>
    <row r="84" spans="2:21" x14ac:dyDescent="0.35">
      <c r="B84" s="12" t="s">
        <v>270</v>
      </c>
      <c r="C84" s="67">
        <v>26</v>
      </c>
      <c r="D84" s="51">
        <f t="shared" si="30"/>
        <v>7.3243158128483349E-4</v>
      </c>
      <c r="E84" s="51">
        <f t="shared" si="30"/>
        <v>6.4520742454804696E-4</v>
      </c>
      <c r="F84" s="51">
        <f t="shared" si="30"/>
        <v>1.0099265528477031E-3</v>
      </c>
      <c r="G84" s="51">
        <f t="shared" si="30"/>
        <v>1.757316311465555E-3</v>
      </c>
      <c r="H84" s="51">
        <f t="shared" si="30"/>
        <v>3.1189154588401285E-3</v>
      </c>
      <c r="I84" s="51">
        <f t="shared" si="30"/>
        <v>1.5757108410757407E-3</v>
      </c>
      <c r="J84" s="51">
        <f t="shared" si="30"/>
        <v>2.0530798948153184E-3</v>
      </c>
      <c r="K84" s="51">
        <f t="shared" si="30"/>
        <v>7.3437880757553278E-3</v>
      </c>
      <c r="L84" s="51">
        <f t="shared" si="30"/>
        <v>3.0331997706180796E-3</v>
      </c>
      <c r="M84" s="51">
        <f t="shared" si="30"/>
        <v>2.1970455927105368E-3</v>
      </c>
      <c r="N84" s="51">
        <f t="shared" si="30"/>
        <v>1.3977371618579925E-3</v>
      </c>
      <c r="O84" s="51">
        <f t="shared" si="30"/>
        <v>5.8705444898490312E-3</v>
      </c>
      <c r="P84" s="99">
        <f t="shared" si="30"/>
        <v>2.5678717163576999E-3</v>
      </c>
      <c r="Q84" s="51">
        <f t="shared" si="28"/>
        <v>2.9706561462015898E-3</v>
      </c>
      <c r="R84" s="104">
        <f t="shared" si="28"/>
        <v>5.9699021051482105E-3</v>
      </c>
      <c r="S84" s="51">
        <f t="shared" si="19"/>
        <v>1.128108969437804E-3</v>
      </c>
      <c r="T84" s="51">
        <f t="shared" ref="T84" si="48">IFERROR(T35/T$15,0)</f>
        <v>1.5462986163375251E-3</v>
      </c>
      <c r="U84" s="51">
        <f t="shared" si="19"/>
        <v>2.6776167749763364E-3</v>
      </c>
    </row>
    <row r="85" spans="2:21" x14ac:dyDescent="0.35">
      <c r="B85" s="12" t="s">
        <v>503</v>
      </c>
      <c r="C85" s="67">
        <v>27</v>
      </c>
      <c r="D85" s="51">
        <f t="shared" si="30"/>
        <v>2.2650121560644932E-3</v>
      </c>
      <c r="E85" s="51">
        <f t="shared" si="30"/>
        <v>2.2506005317672472E-3</v>
      </c>
      <c r="F85" s="51">
        <f t="shared" si="30"/>
        <v>3.1412546533146112E-3</v>
      </c>
      <c r="G85" s="51">
        <f t="shared" si="30"/>
        <v>2.572086690681707E-3</v>
      </c>
      <c r="H85" s="51">
        <f t="shared" si="30"/>
        <v>2.2004791777139403E-3</v>
      </c>
      <c r="I85" s="51">
        <f t="shared" si="30"/>
        <v>2.5714434131758439E-3</v>
      </c>
      <c r="J85" s="51">
        <f t="shared" si="30"/>
        <v>2.2860867495299794E-3</v>
      </c>
      <c r="K85" s="51">
        <f t="shared" si="30"/>
        <v>2.1620464068815015E-3</v>
      </c>
      <c r="L85" s="51">
        <f t="shared" si="30"/>
        <v>8.1000755832193912E-3</v>
      </c>
      <c r="M85" s="51">
        <f t="shared" si="30"/>
        <v>1.7723159061290687E-3</v>
      </c>
      <c r="N85" s="51">
        <f t="shared" si="30"/>
        <v>2.3684333047291422E-3</v>
      </c>
      <c r="O85" s="51">
        <f t="shared" si="30"/>
        <v>6.8009931700958436E-3</v>
      </c>
      <c r="P85" s="99">
        <f t="shared" si="30"/>
        <v>3.2024786366573231E-3</v>
      </c>
      <c r="Q85" s="51">
        <f t="shared" si="28"/>
        <v>2.1824150685023423E-3</v>
      </c>
      <c r="R85" s="104">
        <f t="shared" si="28"/>
        <v>3.3012453091047986E-3</v>
      </c>
      <c r="S85" s="51">
        <f t="shared" si="19"/>
        <v>3.5064470046237395E-3</v>
      </c>
      <c r="T85" s="51">
        <f t="shared" ref="T85" si="49">IFERROR(T36/T$15,0)</f>
        <v>3.3891033308222494E-3</v>
      </c>
      <c r="U85" s="51">
        <f t="shared" si="19"/>
        <v>2.4487606403629744E-3</v>
      </c>
    </row>
    <row r="86" spans="2:21" x14ac:dyDescent="0.35">
      <c r="B86" s="22" t="s">
        <v>492</v>
      </c>
      <c r="C86" s="22"/>
      <c r="D86" s="79">
        <f t="shared" ref="D86:P86" si="50">SUM(D66:D85)</f>
        <v>0.73479733068903008</v>
      </c>
      <c r="E86" s="79">
        <f t="shared" si="50"/>
        <v>0.7622397626017885</v>
      </c>
      <c r="F86" s="79">
        <f t="shared" si="50"/>
        <v>0.84706416806838514</v>
      </c>
      <c r="G86" s="79">
        <f t="shared" si="50"/>
        <v>0.78357941116570629</v>
      </c>
      <c r="H86" s="79">
        <f t="shared" si="50"/>
        <v>0.75052541454393484</v>
      </c>
      <c r="I86" s="79">
        <f t="shared" si="50"/>
        <v>0.77247902385855005</v>
      </c>
      <c r="J86" s="79">
        <f t="shared" si="50"/>
        <v>0.79119702709608064</v>
      </c>
      <c r="K86" s="79">
        <f t="shared" si="50"/>
        <v>0.80266166880240197</v>
      </c>
      <c r="L86" s="79">
        <f t="shared" si="50"/>
        <v>0.79976957953082151</v>
      </c>
      <c r="M86" s="79">
        <f t="shared" si="50"/>
        <v>0.70320069012950015</v>
      </c>
      <c r="N86" s="79">
        <f t="shared" si="50"/>
        <v>0.7821760615176232</v>
      </c>
      <c r="O86" s="79">
        <f t="shared" si="50"/>
        <v>0.80076260615207273</v>
      </c>
      <c r="P86" s="79">
        <f t="shared" si="50"/>
        <v>0.77636216713260342</v>
      </c>
      <c r="Q86" s="79">
        <f>SUM(Q66:Q85)</f>
        <v>0.80583476825896982</v>
      </c>
      <c r="R86" s="79">
        <f>SUM(R66:R85)</f>
        <v>0.80994905138204931</v>
      </c>
      <c r="S86" s="79">
        <f t="shared" si="19"/>
        <v>0.74053267725241156</v>
      </c>
      <c r="T86" s="79">
        <f t="shared" si="19"/>
        <v>0.72189501027488956</v>
      </c>
      <c r="U86" s="79">
        <f t="shared" si="19"/>
        <v>0.78184121267962892</v>
      </c>
    </row>
    <row r="87" spans="2:21" x14ac:dyDescent="0.35"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96"/>
      <c r="Q87" s="39"/>
      <c r="R87" s="102"/>
      <c r="S87" s="39">
        <f t="shared" si="19"/>
        <v>0</v>
      </c>
      <c r="T87" s="39"/>
      <c r="U87" s="39">
        <f t="shared" si="19"/>
        <v>0</v>
      </c>
    </row>
    <row r="88" spans="2:21" x14ac:dyDescent="0.35">
      <c r="B88" s="8" t="s">
        <v>331</v>
      </c>
      <c r="C88" s="67"/>
      <c r="D88" s="81">
        <f t="shared" ref="D88:P88" si="51">D39/D$15</f>
        <v>0.2652026693109702</v>
      </c>
      <c r="E88" s="81">
        <f t="shared" si="51"/>
        <v>0.23776023739821145</v>
      </c>
      <c r="F88" s="81">
        <f t="shared" si="51"/>
        <v>0.15293583193161481</v>
      </c>
      <c r="G88" s="81">
        <f t="shared" si="51"/>
        <v>0.21642058883429408</v>
      </c>
      <c r="H88" s="81">
        <f t="shared" si="51"/>
        <v>0.24947458545606535</v>
      </c>
      <c r="I88" s="81">
        <f t="shared" si="51"/>
        <v>0.22752097614144989</v>
      </c>
      <c r="J88" s="81">
        <f t="shared" si="51"/>
        <v>0.20880297290391894</v>
      </c>
      <c r="K88" s="81">
        <f t="shared" si="51"/>
        <v>0.19733833119759825</v>
      </c>
      <c r="L88" s="81">
        <f t="shared" si="51"/>
        <v>0.20023042046917866</v>
      </c>
      <c r="M88" s="81">
        <f t="shared" si="51"/>
        <v>0.29679930987049979</v>
      </c>
      <c r="N88" s="81">
        <f t="shared" si="51"/>
        <v>0.21782393848237638</v>
      </c>
      <c r="O88" s="81">
        <f t="shared" si="51"/>
        <v>0.19923739384792696</v>
      </c>
      <c r="P88" s="99">
        <f t="shared" si="51"/>
        <v>0.2236378328673968</v>
      </c>
      <c r="Q88" s="81">
        <f t="shared" ref="Q88:R94" si="52">Q39/Q$15</f>
        <v>0.19416523174103023</v>
      </c>
      <c r="R88" s="105">
        <f t="shared" si="52"/>
        <v>0.19005094861795069</v>
      </c>
      <c r="S88" s="81">
        <f t="shared" si="19"/>
        <v>0.25946732274758849</v>
      </c>
      <c r="T88" s="81">
        <f t="shared" si="19"/>
        <v>0.2781049897251105</v>
      </c>
      <c r="U88" s="81">
        <f t="shared" si="19"/>
        <v>0.21815878732037108</v>
      </c>
    </row>
    <row r="89" spans="2:21" x14ac:dyDescent="0.35">
      <c r="B89" s="12" t="s">
        <v>332</v>
      </c>
      <c r="C89" s="67">
        <v>28</v>
      </c>
      <c r="D89" s="51">
        <f t="shared" ref="D89:P89" si="53">D40/D$15</f>
        <v>6.7533129691460622E-2</v>
      </c>
      <c r="E89" s="51">
        <f t="shared" si="53"/>
        <v>4.3926927071603616E-3</v>
      </c>
      <c r="F89" s="51">
        <f t="shared" si="53"/>
        <v>4.878499617557765E-3</v>
      </c>
      <c r="G89" s="51">
        <f t="shared" si="53"/>
        <v>4.1956675749326407E-3</v>
      </c>
      <c r="H89" s="51">
        <f t="shared" si="53"/>
        <v>4.0772850122620394E-3</v>
      </c>
      <c r="I89" s="51">
        <f t="shared" si="53"/>
        <v>4.1543922679834373E-3</v>
      </c>
      <c r="J89" s="51">
        <f t="shared" si="53"/>
        <v>4.1625482951299425E-3</v>
      </c>
      <c r="K89" s="51">
        <f t="shared" si="53"/>
        <v>4.6604763311499896E-3</v>
      </c>
      <c r="L89" s="51">
        <f t="shared" si="53"/>
        <v>4.4080505874114304E-3</v>
      </c>
      <c r="M89" s="51">
        <f t="shared" si="53"/>
        <v>3.8202754721253169E-3</v>
      </c>
      <c r="N89" s="51">
        <f t="shared" si="53"/>
        <v>4.0441317308181329E-3</v>
      </c>
      <c r="O89" s="51">
        <f t="shared" si="53"/>
        <v>5.6424984593443868E-2</v>
      </c>
      <c r="P89" s="99">
        <f t="shared" si="53"/>
        <v>1.3463154158002347E-2</v>
      </c>
      <c r="Q89" s="51">
        <f t="shared" si="52"/>
        <v>5.4392314284060425E-2</v>
      </c>
      <c r="R89" s="104">
        <f t="shared" si="52"/>
        <v>6.2652945672927285E-2</v>
      </c>
      <c r="S89" s="51">
        <f t="shared" si="19"/>
        <v>4.636726698117085E-2</v>
      </c>
      <c r="T89" s="51">
        <f t="shared" si="19"/>
        <v>4.4565044411725159E-2</v>
      </c>
      <c r="U89" s="51">
        <f t="shared" si="19"/>
        <v>5.7214033653340525E-2</v>
      </c>
    </row>
    <row r="90" spans="2:21" x14ac:dyDescent="0.35">
      <c r="B90" s="8" t="s">
        <v>336</v>
      </c>
      <c r="C90" s="67"/>
      <c r="D90" s="81">
        <f t="shared" ref="D90:P90" si="54">D41/D$15</f>
        <v>0.19766953961950959</v>
      </c>
      <c r="E90" s="81">
        <f t="shared" si="54"/>
        <v>0.23336754469105109</v>
      </c>
      <c r="F90" s="81">
        <f t="shared" si="54"/>
        <v>0.14805733231405707</v>
      </c>
      <c r="G90" s="81">
        <f t="shared" si="54"/>
        <v>0.21222492125936143</v>
      </c>
      <c r="H90" s="81">
        <f t="shared" si="54"/>
        <v>0.24539730044380331</v>
      </c>
      <c r="I90" s="81">
        <f t="shared" si="54"/>
        <v>0.22336658387346647</v>
      </c>
      <c r="J90" s="81">
        <f t="shared" si="54"/>
        <v>0.20464042460878901</v>
      </c>
      <c r="K90" s="81">
        <f t="shared" si="54"/>
        <v>0.19267785486644826</v>
      </c>
      <c r="L90" s="81">
        <f t="shared" si="54"/>
        <v>0.19582236988176724</v>
      </c>
      <c r="M90" s="81">
        <f t="shared" si="54"/>
        <v>0.29297903439837447</v>
      </c>
      <c r="N90" s="81">
        <f t="shared" si="54"/>
        <v>0.21377980675155825</v>
      </c>
      <c r="O90" s="81">
        <f t="shared" si="54"/>
        <v>0.1428124092544831</v>
      </c>
      <c r="P90" s="99">
        <f t="shared" si="54"/>
        <v>0.21017467870939446</v>
      </c>
      <c r="Q90" s="81">
        <f t="shared" si="52"/>
        <v>0.13977291745696982</v>
      </c>
      <c r="R90" s="105">
        <f t="shared" si="52"/>
        <v>0.12739800294502343</v>
      </c>
      <c r="S90" s="81">
        <f t="shared" si="19"/>
        <v>0.21310005576641763</v>
      </c>
      <c r="T90" s="81">
        <f t="shared" si="19"/>
        <v>0.23353994531338532</v>
      </c>
      <c r="U90" s="81">
        <f t="shared" si="19"/>
        <v>0.16094475366703057</v>
      </c>
    </row>
    <row r="91" spans="2:21" x14ac:dyDescent="0.35">
      <c r="B91" s="12" t="s">
        <v>204</v>
      </c>
      <c r="C91" s="67">
        <v>29</v>
      </c>
      <c r="D91" s="51">
        <f t="shared" ref="D91:P91" si="55">D42/D$15</f>
        <v>1.0847555630244966E-4</v>
      </c>
      <c r="E91" s="51">
        <f t="shared" si="55"/>
        <v>1.5323155665184047E-3</v>
      </c>
      <c r="F91" s="51">
        <f t="shared" si="55"/>
        <v>2.1964593234834219E-3</v>
      </c>
      <c r="G91" s="51">
        <f t="shared" si="55"/>
        <v>1.8773821716747887E-3</v>
      </c>
      <c r="H91" s="51">
        <f t="shared" si="55"/>
        <v>1.7970483911391444E-3</v>
      </c>
      <c r="I91" s="51">
        <f t="shared" si="55"/>
        <v>1.6621221079242663E-3</v>
      </c>
      <c r="J91" s="51">
        <f t="shared" si="55"/>
        <v>6.7538569918355158E-4</v>
      </c>
      <c r="K91" s="51">
        <f t="shared" si="55"/>
        <v>9.5776793330945424E-4</v>
      </c>
      <c r="L91" s="51">
        <f t="shared" si="55"/>
        <v>7.2236445320858847E-4</v>
      </c>
      <c r="M91" s="51">
        <f t="shared" si="55"/>
        <v>6.4458693012178553E-4</v>
      </c>
      <c r="N91" s="51">
        <f t="shared" si="55"/>
        <v>6.2443974964427251E-4</v>
      </c>
      <c r="O91" s="51">
        <f t="shared" si="55"/>
        <v>3.3231135448913984E-3</v>
      </c>
      <c r="P91" s="99">
        <f t="shared" si="55"/>
        <v>1.3507960894403553E-3</v>
      </c>
      <c r="Q91" s="51">
        <f t="shared" si="52"/>
        <v>1.1904082191830957E-3</v>
      </c>
      <c r="R91" s="104">
        <f t="shared" si="52"/>
        <v>7.9927418303499048E-4</v>
      </c>
      <c r="S91" s="51">
        <f t="shared" si="19"/>
        <v>4.2316895204803912E-4</v>
      </c>
      <c r="T91" s="51">
        <f t="shared" ref="T91" si="56">IFERROR(T42/T$15,0)</f>
        <v>4.9962888830496616E-4</v>
      </c>
      <c r="U91" s="51">
        <f t="shared" si="19"/>
        <v>1.7850778499842244E-3</v>
      </c>
    </row>
    <row r="92" spans="2:21" x14ac:dyDescent="0.35">
      <c r="B92" s="27" t="s">
        <v>333</v>
      </c>
      <c r="C92" s="67"/>
      <c r="D92" s="81">
        <f t="shared" ref="D92:P92" si="57">D43/D$15</f>
        <v>0.19756106406320714</v>
      </c>
      <c r="E92" s="81">
        <f t="shared" si="57"/>
        <v>0.23183522912453269</v>
      </c>
      <c r="F92" s="81">
        <f t="shared" si="57"/>
        <v>0.14586087299057363</v>
      </c>
      <c r="G92" s="81">
        <f t="shared" si="57"/>
        <v>0.21034753908768666</v>
      </c>
      <c r="H92" s="81">
        <f t="shared" si="57"/>
        <v>0.24360025205266417</v>
      </c>
      <c r="I92" s="81">
        <f t="shared" si="57"/>
        <v>0.22170446176554218</v>
      </c>
      <c r="J92" s="81">
        <f t="shared" si="57"/>
        <v>0.20396503890960546</v>
      </c>
      <c r="K92" s="81">
        <f t="shared" si="57"/>
        <v>0.19172008693313877</v>
      </c>
      <c r="L92" s="81">
        <f t="shared" si="57"/>
        <v>0.19510000542855863</v>
      </c>
      <c r="M92" s="81">
        <f t="shared" si="57"/>
        <v>0.29233444746825266</v>
      </c>
      <c r="N92" s="81">
        <f t="shared" si="57"/>
        <v>0.21315536700191398</v>
      </c>
      <c r="O92" s="81">
        <f t="shared" si="57"/>
        <v>0.1394892957095917</v>
      </c>
      <c r="P92" s="99">
        <f t="shared" si="57"/>
        <v>0.2088238826199541</v>
      </c>
      <c r="Q92" s="81">
        <f t="shared" si="52"/>
        <v>0.13858250923778673</v>
      </c>
      <c r="R92" s="105">
        <f t="shared" si="52"/>
        <v>0.12659872876198844</v>
      </c>
      <c r="S92" s="81">
        <f t="shared" si="19"/>
        <v>0.21267688681436961</v>
      </c>
      <c r="T92" s="81">
        <f t="shared" ref="T92" si="58">IFERROR(T43/T$15,0)</f>
        <v>0.23304031642508036</v>
      </c>
      <c r="U92" s="81">
        <f t="shared" si="19"/>
        <v>0.15915967581704635</v>
      </c>
    </row>
    <row r="93" spans="2:21" x14ac:dyDescent="0.35">
      <c r="B93" s="12" t="s">
        <v>334</v>
      </c>
      <c r="C93" s="67">
        <v>30</v>
      </c>
      <c r="D93" s="51">
        <f t="shared" ref="D93:P93" si="59">D44/D$15</f>
        <v>5.1123542611552969E-2</v>
      </c>
      <c r="E93" s="51">
        <f t="shared" si="59"/>
        <v>5.9992783857527814E-2</v>
      </c>
      <c r="F93" s="51">
        <f t="shared" si="59"/>
        <v>3.7744909863950515E-2</v>
      </c>
      <c r="G93" s="51">
        <f t="shared" si="59"/>
        <v>5.443234186238307E-2</v>
      </c>
      <c r="H93" s="51">
        <f t="shared" si="59"/>
        <v>6.3037258505628482E-2</v>
      </c>
      <c r="I93" s="51">
        <f t="shared" si="59"/>
        <v>5.737121103283712E-2</v>
      </c>
      <c r="J93" s="51">
        <f t="shared" si="59"/>
        <v>5.2780720773128433E-2</v>
      </c>
      <c r="K93" s="51">
        <f t="shared" si="59"/>
        <v>4.9612053267141368E-2</v>
      </c>
      <c r="L93" s="51">
        <f t="shared" si="59"/>
        <v>5.0486686171370358E-2</v>
      </c>
      <c r="M93" s="51">
        <f t="shared" si="59"/>
        <v>7.5648370557401381E-2</v>
      </c>
      <c r="N93" s="51">
        <f t="shared" si="59"/>
        <v>5.5158932958151732E-2</v>
      </c>
      <c r="O93" s="51">
        <f t="shared" si="59"/>
        <v>3.6096115329604071E-2</v>
      </c>
      <c r="P93" s="99">
        <f t="shared" si="59"/>
        <v>5.4038060141321988E-2</v>
      </c>
      <c r="Q93" s="51">
        <f t="shared" si="52"/>
        <v>3.4878445924966174E-2</v>
      </c>
      <c r="R93" s="104">
        <f t="shared" si="52"/>
        <v>3.276037986088829E-2</v>
      </c>
      <c r="S93" s="51">
        <f t="shared" si="19"/>
        <v>5.5035115026856908E-2</v>
      </c>
      <c r="T93" s="51">
        <f t="shared" ref="T93" si="60">IFERROR(T44/T$15,0)</f>
        <v>6.0304628361161794E-2</v>
      </c>
      <c r="U93" s="51">
        <f t="shared" si="19"/>
        <v>4.1194104230405176E-2</v>
      </c>
    </row>
    <row r="94" spans="2:21" x14ac:dyDescent="0.35">
      <c r="B94" s="44" t="s">
        <v>335</v>
      </c>
      <c r="C94" s="68"/>
      <c r="D94" s="82">
        <f t="shared" ref="D94:P94" si="61">D45/D$15</f>
        <v>0.14643752145165417</v>
      </c>
      <c r="E94" s="82">
        <f t="shared" si="61"/>
        <v>0.1718424452670049</v>
      </c>
      <c r="F94" s="82">
        <f t="shared" si="61"/>
        <v>0.10811596312662312</v>
      </c>
      <c r="G94" s="82">
        <f t="shared" si="61"/>
        <v>0.15591519722530359</v>
      </c>
      <c r="H94" s="82">
        <f t="shared" si="61"/>
        <v>0.18056299354703567</v>
      </c>
      <c r="I94" s="82">
        <f t="shared" si="61"/>
        <v>0.16433325073270508</v>
      </c>
      <c r="J94" s="82">
        <f t="shared" si="61"/>
        <v>0.15118431813647704</v>
      </c>
      <c r="K94" s="82">
        <f t="shared" si="61"/>
        <v>0.14210803366599742</v>
      </c>
      <c r="L94" s="82">
        <f t="shared" si="61"/>
        <v>0.14461331925718829</v>
      </c>
      <c r="M94" s="82">
        <f t="shared" si="61"/>
        <v>0.21668607691085126</v>
      </c>
      <c r="N94" s="82">
        <f t="shared" si="61"/>
        <v>0.15799643404376226</v>
      </c>
      <c r="O94" s="82">
        <f t="shared" si="61"/>
        <v>0.10339318037998763</v>
      </c>
      <c r="P94" s="100">
        <f t="shared" si="61"/>
        <v>0.15478582247863212</v>
      </c>
      <c r="Q94" s="82">
        <f t="shared" si="52"/>
        <v>0.10370406331282056</v>
      </c>
      <c r="R94" s="106">
        <f t="shared" si="52"/>
        <v>9.3838348901100155E-2</v>
      </c>
      <c r="S94" s="82">
        <f t="shared" si="19"/>
        <v>0.15764177178751271</v>
      </c>
      <c r="T94" s="82">
        <f t="shared" ref="T94" si="62">IFERROR(T45/T$15,0)</f>
        <v>0.17273568806391856</v>
      </c>
      <c r="U94" s="82">
        <f t="shared" si="19"/>
        <v>0.11796557158664117</v>
      </c>
    </row>
  </sheetData>
  <mergeCells count="3">
    <mergeCell ref="F52:H52"/>
    <mergeCell ref="V4:X4"/>
    <mergeCell ref="B2:V2"/>
  </mergeCells>
  <hyperlinks>
    <hyperlink ref="C7" location="Notes_Consl_PL!A1" display="Notes_Consl_PL!A1" xr:uid="{F653B330-2152-483C-BB0F-17AA9C97C09C}"/>
    <hyperlink ref="C7:C14" location="Anx_Consl_PL!A1" display="Anx_Consl_PL!A1" xr:uid="{1F6F2A21-831D-4E87-BD24-24D6B8EA0160}"/>
    <hyperlink ref="C40" location="Depr.!A1" display="Depr.!A1" xr:uid="{22E9AEC2-2AFC-4237-B75C-F6ACFAC501EA}"/>
    <hyperlink ref="C17:C36" location="Anx_Consl_PL!A1" display="Anx_Consl_PL!A1" xr:uid="{97682E5A-C7FD-4278-9A28-C64CF3DD20B8}"/>
    <hyperlink ref="C32" location="ECL!A1" display="ECL!A1" xr:uid="{F934DABC-D835-4EB8-B7C2-32D5A48BF694}"/>
    <hyperlink ref="C56" location="Notes_Consl_PL!A1" display="Notes_Consl_PL!A1" xr:uid="{C93E1EF9-7284-46A7-BC59-C7BA48275718}"/>
    <hyperlink ref="C56:C63" location="Anx_Consl_PL!A1" display="Anx_Consl_PL!A1" xr:uid="{5EA06EA6-A4E4-40E4-909C-E62C232034AF}"/>
    <hyperlink ref="C89" location="Depr.!A1" display="Depr.!A1" xr:uid="{E8B3CFF5-AF68-4DA3-86C8-F585FF2AF786}"/>
    <hyperlink ref="C91" location="Notes_Consl_PL!A1" display="Notes_Consl_PL!A1" xr:uid="{A2911215-84B4-4E0D-AFE5-894C13C59C89}"/>
    <hyperlink ref="C42" location="Anx_Consl_PL!A1" display="Anx_Consl_PL!A1" xr:uid="{6D2B53B5-3772-4F43-9458-8F2BADE69405}"/>
    <hyperlink ref="C81" location="ECL!A1" display="ECL!A1" xr:uid="{B756FE02-2415-49FB-8993-202A7B996577}"/>
    <hyperlink ref="C66:C85" location="Notes_Consl_PL!A1" display="Notes_Consl_PL!A1" xr:uid="{F8F02EA5-03AB-42B7-B93F-C1FA435FB58E}"/>
  </hyperlinks>
  <pageMargins left="0.31496062992125984" right="0.31496062992125984" top="0.74803149606299213" bottom="0.74803149606299213" header="0.31496062992125984" footer="0.31496062992125984"/>
  <pageSetup orientation="landscape" r:id="rId1"/>
  <ignoredErrors>
    <ignoredError sqref="D42:Q43 P13 P44:Q44 D44:O44 S4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10A0-57C0-4006-9750-A95E8009388A}">
  <sheetPr>
    <tabColor rgb="FFF20E8B"/>
  </sheetPr>
  <dimension ref="B1:OA406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16" sqref="E16"/>
    </sheetView>
  </sheetViews>
  <sheetFormatPr defaultColWidth="8.90625" defaultRowHeight="13.5" x14ac:dyDescent="0.25"/>
  <cols>
    <col min="1" max="1" width="1.6328125" style="57" customWidth="1"/>
    <col min="2" max="2" width="10.08984375" style="58" customWidth="1"/>
    <col min="3" max="3" width="32" style="59" bestFit="1" customWidth="1"/>
    <col min="4" max="4" width="48.36328125" style="59" bestFit="1" customWidth="1"/>
    <col min="5" max="7" width="8.1796875" style="59" bestFit="1" customWidth="1"/>
    <col min="8" max="13" width="9.1796875" style="59" bestFit="1" customWidth="1"/>
    <col min="14" max="16" width="9.1796875" style="57" bestFit="1" customWidth="1"/>
    <col min="17" max="30" width="3" style="57" bestFit="1" customWidth="1"/>
    <col min="31" max="31" width="10.81640625" style="57" bestFit="1" customWidth="1"/>
    <col min="32" max="33" width="8.1796875" style="57" bestFit="1" customWidth="1"/>
    <col min="34" max="35" width="7.1796875" style="57" bestFit="1" customWidth="1"/>
    <col min="36" max="37" width="4.54296875" style="57" bestFit="1" customWidth="1"/>
    <col min="38" max="38" width="7.1796875" style="57" bestFit="1" customWidth="1"/>
    <col min="39" max="39" width="6.1796875" style="57" bestFit="1" customWidth="1"/>
    <col min="40" max="40" width="7.54296875" style="57" bestFit="1" customWidth="1"/>
    <col min="41" max="42" width="6.54296875" style="57" bestFit="1" customWidth="1"/>
    <col min="43" max="50" width="5.54296875" style="57" bestFit="1" customWidth="1"/>
    <col min="51" max="52" width="4.54296875" style="57" bestFit="1" customWidth="1"/>
    <col min="53" max="53" width="5.54296875" style="57" bestFit="1" customWidth="1"/>
    <col min="54" max="56" width="4.54296875" style="57" bestFit="1" customWidth="1"/>
    <col min="57" max="57" width="5.54296875" style="57" bestFit="1" customWidth="1"/>
    <col min="58" max="58" width="5.1796875" style="57" bestFit="1" customWidth="1"/>
    <col min="59" max="60" width="4.54296875" style="57" bestFit="1" customWidth="1"/>
    <col min="61" max="62" width="8.1796875" style="57" bestFit="1" customWidth="1"/>
    <col min="63" max="64" width="7.1796875" style="57" bestFit="1" customWidth="1"/>
    <col min="65" max="66" width="4.54296875" style="57" bestFit="1" customWidth="1"/>
    <col min="67" max="67" width="7.1796875" style="57" bestFit="1" customWidth="1"/>
    <col min="68" max="68" width="6.1796875" style="57" bestFit="1" customWidth="1"/>
    <col min="69" max="69" width="7.54296875" style="57" bestFit="1" customWidth="1"/>
    <col min="70" max="71" width="6.54296875" style="57" bestFit="1" customWidth="1"/>
    <col min="72" max="72" width="5.54296875" style="57" bestFit="1" customWidth="1"/>
    <col min="73" max="73" width="6.54296875" style="57" bestFit="1" customWidth="1"/>
    <col min="74" max="76" width="5.54296875" style="57" bestFit="1" customWidth="1"/>
    <col min="77" max="77" width="6.54296875" style="57" bestFit="1" customWidth="1"/>
    <col min="78" max="79" width="5.54296875" style="57" bestFit="1" customWidth="1"/>
    <col min="80" max="80" width="4.54296875" style="57" bestFit="1" customWidth="1"/>
    <col min="81" max="81" width="5.1796875" style="57" bestFit="1" customWidth="1"/>
    <col min="82" max="82" width="5.54296875" style="57" bestFit="1" customWidth="1"/>
    <col min="83" max="85" width="4.54296875" style="57" bestFit="1" customWidth="1"/>
    <col min="86" max="86" width="5.54296875" style="57" bestFit="1" customWidth="1"/>
    <col min="87" max="89" width="4.54296875" style="57" bestFit="1" customWidth="1"/>
    <col min="90" max="91" width="8.1796875" style="57" bestFit="1" customWidth="1"/>
    <col min="92" max="93" width="7.1796875" style="57" bestFit="1" customWidth="1"/>
    <col min="94" max="94" width="4.54296875" style="57" bestFit="1" customWidth="1"/>
    <col min="95" max="95" width="5.1796875" style="57" bestFit="1" customWidth="1"/>
    <col min="96" max="96" width="7.1796875" style="57" bestFit="1" customWidth="1"/>
    <col min="97" max="97" width="6.1796875" style="57" bestFit="1" customWidth="1"/>
    <col min="98" max="98" width="7.54296875" style="57" bestFit="1" customWidth="1"/>
    <col min="99" max="100" width="6.54296875" style="57" bestFit="1" customWidth="1"/>
    <col min="101" max="101" width="5.54296875" style="57" bestFit="1" customWidth="1"/>
    <col min="102" max="102" width="6.54296875" style="57" bestFit="1" customWidth="1"/>
    <col min="103" max="104" width="5.54296875" style="57" bestFit="1" customWidth="1"/>
    <col min="105" max="105" width="4.54296875" style="57" bestFit="1" customWidth="1"/>
    <col min="106" max="108" width="5.54296875" style="57" bestFit="1" customWidth="1"/>
    <col min="109" max="110" width="4.54296875" style="57" bestFit="1" customWidth="1"/>
    <col min="111" max="111" width="5.54296875" style="57" bestFit="1" customWidth="1"/>
    <col min="112" max="114" width="4.54296875" style="57" bestFit="1" customWidth="1"/>
    <col min="115" max="115" width="5.54296875" style="57" bestFit="1" customWidth="1"/>
    <col min="116" max="117" width="4.54296875" style="57" bestFit="1" customWidth="1"/>
    <col min="118" max="118" width="4.90625" style="57" bestFit="1" customWidth="1"/>
    <col min="119" max="120" width="8.1796875" style="57" bestFit="1" customWidth="1"/>
    <col min="121" max="122" width="7.1796875" style="57" bestFit="1" customWidth="1"/>
    <col min="123" max="123" width="4.54296875" style="57" bestFit="1" customWidth="1"/>
    <col min="124" max="124" width="5.1796875" style="57" bestFit="1" customWidth="1"/>
    <col min="125" max="125" width="7.1796875" style="57" bestFit="1" customWidth="1"/>
    <col min="126" max="126" width="6.1796875" style="57" bestFit="1" customWidth="1"/>
    <col min="127" max="127" width="7.54296875" style="57" bestFit="1" customWidth="1"/>
    <col min="128" max="129" width="6.54296875" style="57" bestFit="1" customWidth="1"/>
    <col min="130" max="130" width="5.54296875" style="57" bestFit="1" customWidth="1"/>
    <col min="131" max="131" width="6.54296875" style="57" bestFit="1" customWidth="1"/>
    <col min="132" max="137" width="5.54296875" style="57" bestFit="1" customWidth="1"/>
    <col min="138" max="143" width="4.54296875" style="57" bestFit="1" customWidth="1"/>
    <col min="144" max="145" width="5.54296875" style="57" bestFit="1" customWidth="1"/>
    <col min="146" max="146" width="4.54296875" style="57" bestFit="1" customWidth="1"/>
    <col min="147" max="147" width="4.6328125" style="57" bestFit="1" customWidth="1"/>
    <col min="148" max="149" width="8.1796875" style="57" bestFit="1" customWidth="1"/>
    <col min="150" max="151" width="7.1796875" style="57" bestFit="1" customWidth="1"/>
    <col min="152" max="153" width="5.1796875" style="57" bestFit="1" customWidth="1"/>
    <col min="154" max="154" width="7.1796875" style="57" bestFit="1" customWidth="1"/>
    <col min="155" max="155" width="6.1796875" style="57" bestFit="1" customWidth="1"/>
    <col min="156" max="156" width="7.54296875" style="57" bestFit="1" customWidth="1"/>
    <col min="157" max="158" width="6.54296875" style="57" bestFit="1" customWidth="1"/>
    <col min="159" max="159" width="5.54296875" style="57" bestFit="1" customWidth="1"/>
    <col min="160" max="160" width="6.54296875" style="57" bestFit="1" customWidth="1"/>
    <col min="161" max="166" width="5.54296875" style="57" bestFit="1" customWidth="1"/>
    <col min="167" max="171" width="4.54296875" style="57" bestFit="1" customWidth="1"/>
    <col min="172" max="172" width="5.1796875" style="57" bestFit="1" customWidth="1"/>
    <col min="173" max="173" width="5.54296875" style="57" bestFit="1" customWidth="1"/>
    <col min="174" max="176" width="4.54296875" style="57" bestFit="1" customWidth="1"/>
    <col min="177" max="178" width="8.1796875" style="57" bestFit="1" customWidth="1"/>
    <col min="179" max="180" width="7.1796875" style="57" bestFit="1" customWidth="1"/>
    <col min="181" max="181" width="4.54296875" style="57" bestFit="1" customWidth="1"/>
    <col min="182" max="182" width="5.1796875" style="57" bestFit="1" customWidth="1"/>
    <col min="183" max="183" width="7.1796875" style="57" bestFit="1" customWidth="1"/>
    <col min="184" max="184" width="6.1796875" style="57" bestFit="1" customWidth="1"/>
    <col min="185" max="185" width="7.54296875" style="57" bestFit="1" customWidth="1"/>
    <col min="186" max="189" width="6.54296875" style="57" bestFit="1" customWidth="1"/>
    <col min="190" max="195" width="5.54296875" style="57" bestFit="1" customWidth="1"/>
    <col min="196" max="197" width="4.54296875" style="57" bestFit="1" customWidth="1"/>
    <col min="198" max="198" width="5.54296875" style="57" bestFit="1" customWidth="1"/>
    <col min="199" max="201" width="4.54296875" style="57" bestFit="1" customWidth="1"/>
    <col min="202" max="202" width="5.54296875" style="57" bestFit="1" customWidth="1"/>
    <col min="203" max="204" width="4.54296875" style="57" bestFit="1" customWidth="1"/>
    <col min="205" max="205" width="5" style="57" bestFit="1" customWidth="1"/>
    <col min="206" max="207" width="8.1796875" style="57" bestFit="1" customWidth="1"/>
    <col min="208" max="209" width="7.1796875" style="57" bestFit="1" customWidth="1"/>
    <col min="210" max="210" width="4.54296875" style="57" bestFit="1" customWidth="1"/>
    <col min="211" max="211" width="5.1796875" style="57" bestFit="1" customWidth="1"/>
    <col min="212" max="212" width="7.1796875" style="57" bestFit="1" customWidth="1"/>
    <col min="213" max="213" width="6.1796875" style="57" bestFit="1" customWidth="1"/>
    <col min="214" max="214" width="7.54296875" style="57" bestFit="1" customWidth="1"/>
    <col min="215" max="216" width="6.54296875" style="57" bestFit="1" customWidth="1"/>
    <col min="217" max="217" width="5.54296875" style="57" bestFit="1" customWidth="1"/>
    <col min="218" max="218" width="6.54296875" style="57" bestFit="1" customWidth="1"/>
    <col min="219" max="219" width="5.54296875" style="57" bestFit="1" customWidth="1"/>
    <col min="220" max="220" width="4.54296875" style="57" bestFit="1" customWidth="1"/>
    <col min="221" max="224" width="5.54296875" style="57" bestFit="1" customWidth="1"/>
    <col min="225" max="226" width="4.54296875" style="57" bestFit="1" customWidth="1"/>
    <col min="227" max="227" width="5.54296875" style="57" bestFit="1" customWidth="1"/>
    <col min="228" max="230" width="4.54296875" style="57" bestFit="1" customWidth="1"/>
    <col min="231" max="232" width="5.54296875" style="57" bestFit="1" customWidth="1"/>
    <col min="233" max="233" width="4.54296875" style="57" bestFit="1" customWidth="1"/>
    <col min="234" max="234" width="4.6328125" style="57" bestFit="1" customWidth="1"/>
    <col min="235" max="236" width="8.1796875" style="57" bestFit="1" customWidth="1"/>
    <col min="237" max="238" width="7.1796875" style="57" bestFit="1" customWidth="1"/>
    <col min="239" max="239" width="4.54296875" style="57" bestFit="1" customWidth="1"/>
    <col min="240" max="240" width="5.1796875" style="57" bestFit="1" customWidth="1"/>
    <col min="241" max="241" width="7.1796875" style="57" bestFit="1" customWidth="1"/>
    <col min="242" max="242" width="6.1796875" style="57" bestFit="1" customWidth="1"/>
    <col min="243" max="243" width="7.54296875" style="57" bestFit="1" customWidth="1"/>
    <col min="244" max="245" width="6.54296875" style="57" bestFit="1" customWidth="1"/>
    <col min="246" max="253" width="5.54296875" style="57" bestFit="1" customWidth="1"/>
    <col min="254" max="258" width="4.54296875" style="57" bestFit="1" customWidth="1"/>
    <col min="259" max="259" width="5.1796875" style="57" bestFit="1" customWidth="1"/>
    <col min="260" max="262" width="5.54296875" style="57" bestFit="1" customWidth="1"/>
    <col min="263" max="263" width="6.1796875" style="57" bestFit="1" customWidth="1"/>
    <col min="264" max="265" width="8.1796875" style="57" bestFit="1" customWidth="1"/>
    <col min="266" max="267" width="7.1796875" style="57" bestFit="1" customWidth="1"/>
    <col min="268" max="269" width="5.1796875" style="57" bestFit="1" customWidth="1"/>
    <col min="270" max="270" width="7.1796875" style="57" bestFit="1" customWidth="1"/>
    <col min="271" max="271" width="6.1796875" style="57" bestFit="1" customWidth="1"/>
    <col min="272" max="272" width="7.54296875" style="57" bestFit="1" customWidth="1"/>
    <col min="273" max="275" width="6.54296875" style="57" bestFit="1" customWidth="1"/>
    <col min="276" max="282" width="5.54296875" style="57" bestFit="1" customWidth="1"/>
    <col min="283" max="284" width="4.54296875" style="57" bestFit="1" customWidth="1"/>
    <col min="285" max="285" width="5.54296875" style="57" bestFit="1" customWidth="1"/>
    <col min="286" max="288" width="4.54296875" style="57" bestFit="1" customWidth="1"/>
    <col min="289" max="289" width="5.54296875" style="57" bestFit="1" customWidth="1"/>
    <col min="290" max="290" width="5.1796875" style="57" bestFit="1" customWidth="1"/>
    <col min="291" max="291" width="4.54296875" style="57" bestFit="1" customWidth="1"/>
    <col min="292" max="292" width="7.54296875" style="57" bestFit="1" customWidth="1"/>
    <col min="293" max="294" width="8.1796875" style="57" bestFit="1" customWidth="1"/>
    <col min="295" max="296" width="7.1796875" style="57" bestFit="1" customWidth="1"/>
    <col min="297" max="297" width="4.54296875" style="57" bestFit="1" customWidth="1"/>
    <col min="298" max="298" width="5.1796875" style="57" bestFit="1" customWidth="1"/>
    <col min="299" max="300" width="7.1796875" style="57" bestFit="1" customWidth="1"/>
    <col min="301" max="301" width="7.54296875" style="57" bestFit="1" customWidth="1"/>
    <col min="302" max="303" width="6.54296875" style="57" bestFit="1" customWidth="1"/>
    <col min="304" max="304" width="5.54296875" style="57" bestFit="1" customWidth="1"/>
    <col min="305" max="306" width="6.54296875" style="57" bestFit="1" customWidth="1"/>
    <col min="307" max="308" width="5.54296875" style="57" bestFit="1" customWidth="1"/>
    <col min="309" max="309" width="6.54296875" style="57" bestFit="1" customWidth="1"/>
    <col min="310" max="311" width="5.54296875" style="57" bestFit="1" customWidth="1"/>
    <col min="312" max="313" width="4.54296875" style="57" bestFit="1" customWidth="1"/>
    <col min="314" max="314" width="5.54296875" style="57" bestFit="1" customWidth="1"/>
    <col min="315" max="315" width="4.54296875" style="57" bestFit="1" customWidth="1"/>
    <col min="316" max="316" width="6.54296875" style="57" bestFit="1" customWidth="1"/>
    <col min="317" max="317" width="4.54296875" style="57" bestFit="1" customWidth="1"/>
    <col min="318" max="318" width="5.54296875" style="57" bestFit="1" customWidth="1"/>
    <col min="319" max="320" width="4.54296875" style="57" bestFit="1" customWidth="1"/>
    <col min="321" max="323" width="8.1796875" style="57" bestFit="1" customWidth="1"/>
    <col min="324" max="325" width="7.1796875" style="57" bestFit="1" customWidth="1"/>
    <col min="326" max="326" width="4.54296875" style="57" bestFit="1" customWidth="1"/>
    <col min="327" max="327" width="5.1796875" style="57" bestFit="1" customWidth="1"/>
    <col min="328" max="329" width="7.1796875" style="57" bestFit="1" customWidth="1"/>
    <col min="330" max="330" width="7.54296875" style="57" bestFit="1" customWidth="1"/>
    <col min="331" max="334" width="6.54296875" style="57" bestFit="1" customWidth="1"/>
    <col min="335" max="337" width="5.54296875" style="57" bestFit="1" customWidth="1"/>
    <col min="338" max="338" width="6.54296875" style="57" bestFit="1" customWidth="1"/>
    <col min="339" max="340" width="5.54296875" style="57" bestFit="1" customWidth="1"/>
    <col min="341" max="341" width="4.54296875" style="57" bestFit="1" customWidth="1"/>
    <col min="342" max="342" width="5.54296875" style="57" bestFit="1" customWidth="1"/>
    <col min="343" max="343" width="6.1796875" style="57" bestFit="1" customWidth="1"/>
    <col min="344" max="344" width="4.54296875" style="57" bestFit="1" customWidth="1"/>
    <col min="345" max="345" width="7.1796875" style="57" bestFit="1" customWidth="1"/>
    <col min="346" max="346" width="4.54296875" style="57" bestFit="1" customWidth="1"/>
    <col min="347" max="349" width="5.54296875" style="57" bestFit="1" customWidth="1"/>
    <col min="350" max="350" width="7.1796875" style="57" bestFit="1" customWidth="1"/>
    <col min="351" max="352" width="9.1796875" style="57" bestFit="1" customWidth="1"/>
    <col min="353" max="354" width="8.1796875" style="57" bestFit="1" customWidth="1"/>
    <col min="355" max="355" width="4.54296875" style="57" bestFit="1" customWidth="1"/>
    <col min="356" max="356" width="5.1796875" style="57" bestFit="1" customWidth="1"/>
    <col min="357" max="357" width="8.1796875" style="57" bestFit="1" customWidth="1"/>
    <col min="358" max="358" width="7.1796875" style="57" bestFit="1" customWidth="1"/>
    <col min="359" max="359" width="8.54296875" style="57" bestFit="1" customWidth="1"/>
    <col min="360" max="363" width="7.54296875" style="57" bestFit="1" customWidth="1"/>
    <col min="364" max="366" width="6.54296875" style="57" bestFit="1" customWidth="1"/>
    <col min="367" max="367" width="7.54296875" style="57" bestFit="1" customWidth="1"/>
    <col min="368" max="369" width="6.54296875" style="57" bestFit="1" customWidth="1"/>
    <col min="370" max="371" width="5.54296875" style="57" bestFit="1" customWidth="1"/>
    <col min="372" max="372" width="6.54296875" style="57" bestFit="1" customWidth="1"/>
    <col min="373" max="374" width="4.54296875" style="57" bestFit="1" customWidth="1"/>
    <col min="375" max="375" width="5.54296875" style="57" bestFit="1" customWidth="1"/>
    <col min="376" max="377" width="6.54296875" style="57" bestFit="1" customWidth="1"/>
    <col min="378" max="378" width="5.54296875" style="57" bestFit="1" customWidth="1"/>
    <col min="379" max="379" width="9.1796875" style="57" bestFit="1" customWidth="1"/>
    <col min="380" max="380" width="10" style="57" bestFit="1" customWidth="1"/>
    <col min="381" max="381" width="9.08984375" style="57" bestFit="1" customWidth="1"/>
    <col min="382" max="382" width="8.453125" style="57" bestFit="1" customWidth="1"/>
    <col min="383" max="383" width="9.54296875" style="57" bestFit="1" customWidth="1"/>
    <col min="384" max="384" width="9.36328125" style="57" bestFit="1" customWidth="1"/>
    <col min="385" max="385" width="9.08984375" style="57" bestFit="1" customWidth="1"/>
    <col min="386" max="386" width="9.6328125" style="57" bestFit="1" customWidth="1"/>
    <col min="387" max="387" width="9.36328125" style="57" bestFit="1" customWidth="1"/>
    <col min="388" max="388" width="9" style="57" bestFit="1" customWidth="1"/>
    <col min="389" max="389" width="9.1796875" style="57" bestFit="1" customWidth="1"/>
    <col min="390" max="390" width="9.6328125" style="57" bestFit="1" customWidth="1"/>
    <col min="391" max="391" width="9.453125" style="57" bestFit="1" customWidth="1"/>
    <col min="392" max="16384" width="8.90625" style="57"/>
  </cols>
  <sheetData>
    <row r="1" spans="2:391" ht="7.25" customHeight="1" x14ac:dyDescent="0.25"/>
    <row r="2" spans="2:391" ht="18.5" x14ac:dyDescent="0.45">
      <c r="B2" s="64" t="s">
        <v>467</v>
      </c>
    </row>
    <row r="3" spans="2:391" ht="15" thickBot="1" x14ac:dyDescent="0.4">
      <c r="B3" s="65" t="s">
        <v>610</v>
      </c>
      <c r="C3" s="31"/>
      <c r="D3" s="31"/>
      <c r="E3" s="173" t="s">
        <v>465</v>
      </c>
      <c r="F3" s="173"/>
      <c r="G3" s="173"/>
      <c r="H3" s="31"/>
      <c r="I3" s="31"/>
      <c r="J3" s="31"/>
      <c r="K3" s="31"/>
      <c r="L3" s="31"/>
      <c r="M3" s="31"/>
      <c r="N3" s="31"/>
      <c r="O3" s="31"/>
      <c r="P3" s="31"/>
    </row>
    <row r="4" spans="2:391" ht="10.25" customHeight="1" x14ac:dyDescent="0.35">
      <c r="B4" s="112"/>
      <c r="C4"/>
      <c r="D4"/>
      <c r="E4" s="113"/>
      <c r="F4" s="113"/>
      <c r="G4" s="113"/>
      <c r="H4"/>
      <c r="I4"/>
      <c r="J4"/>
      <c r="K4"/>
      <c r="L4"/>
      <c r="M4"/>
      <c r="N4"/>
      <c r="O4"/>
      <c r="P4"/>
    </row>
    <row r="5" spans="2:391" ht="14.5" x14ac:dyDescent="0.35">
      <c r="B5" s="60" t="s">
        <v>537</v>
      </c>
      <c r="C5" s="12" t="s">
        <v>615</v>
      </c>
      <c r="D5"/>
      <c r="E5" s="113"/>
      <c r="F5" s="113"/>
      <c r="G5" s="113"/>
      <c r="H5"/>
      <c r="I5"/>
      <c r="J5"/>
      <c r="K5"/>
      <c r="L5"/>
      <c r="M5"/>
      <c r="N5"/>
      <c r="O5"/>
      <c r="P5"/>
    </row>
    <row r="6" spans="2:391" ht="6" customHeight="1" x14ac:dyDescent="0.35">
      <c r="B6" s="112"/>
      <c r="C6"/>
      <c r="D6"/>
      <c r="E6" s="113"/>
      <c r="F6" s="113"/>
      <c r="G6" s="113"/>
      <c r="H6"/>
      <c r="I6"/>
      <c r="J6"/>
      <c r="K6"/>
      <c r="L6"/>
      <c r="M6"/>
      <c r="N6"/>
      <c r="O6"/>
      <c r="P6"/>
    </row>
    <row r="7" spans="2:391" ht="14.5" x14ac:dyDescent="0.35">
      <c r="B7" s="66" t="s">
        <v>626</v>
      </c>
      <c r="C7" s="60" t="s">
        <v>568</v>
      </c>
      <c r="D7" s="60" t="s">
        <v>0</v>
      </c>
      <c r="E7" s="12" t="s">
        <v>641</v>
      </c>
      <c r="F7" s="12" t="s">
        <v>640</v>
      </c>
      <c r="G7" s="12" t="s">
        <v>639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</row>
    <row r="8" spans="2:391" ht="14.5" x14ac:dyDescent="0.35">
      <c r="B8" s="61">
        <v>1</v>
      </c>
      <c r="C8" s="12" t="s">
        <v>203</v>
      </c>
      <c r="D8" s="12" t="s">
        <v>87</v>
      </c>
      <c r="E8" s="62">
        <v>5.5393999999999997</v>
      </c>
      <c r="F8" s="62">
        <v>5.9225770000000004</v>
      </c>
      <c r="G8" s="62">
        <v>5.7390600000000003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</row>
    <row r="9" spans="2:391" ht="14.5" x14ac:dyDescent="0.35">
      <c r="B9" s="61"/>
      <c r="C9" s="12"/>
      <c r="D9" s="12" t="s">
        <v>89</v>
      </c>
      <c r="E9" s="62">
        <v>8.8865999999999996</v>
      </c>
      <c r="F9" s="62">
        <v>12.558060899999999</v>
      </c>
      <c r="G9" s="62">
        <v>14.7222113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</row>
    <row r="10" spans="2:391" ht="14.5" x14ac:dyDescent="0.35">
      <c r="B10" s="61"/>
      <c r="C10" s="12"/>
      <c r="D10" s="12" t="s">
        <v>90</v>
      </c>
      <c r="E10" s="62">
        <v>0.1575</v>
      </c>
      <c r="F10" s="62">
        <v>0.18437999999999999</v>
      </c>
      <c r="G10" s="62">
        <v>0.16707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</row>
    <row r="11" spans="2:391" ht="14.5" x14ac:dyDescent="0.35">
      <c r="B11" s="61"/>
      <c r="C11" s="12"/>
      <c r="D11" s="12" t="s">
        <v>91</v>
      </c>
      <c r="E11" s="62">
        <v>0</v>
      </c>
      <c r="F11" s="62">
        <v>0</v>
      </c>
      <c r="G11" s="62">
        <v>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</row>
    <row r="12" spans="2:391" ht="14.5" x14ac:dyDescent="0.35">
      <c r="B12" s="61"/>
      <c r="C12" s="12"/>
      <c r="D12" s="12" t="s">
        <v>468</v>
      </c>
      <c r="E12" s="62">
        <v>0</v>
      </c>
      <c r="F12" s="62">
        <v>0</v>
      </c>
      <c r="G12" s="62">
        <v>-2.573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</row>
    <row r="13" spans="2:391" ht="14.5" x14ac:dyDescent="0.35">
      <c r="B13" s="61"/>
      <c r="C13" s="12"/>
      <c r="D13" s="12" t="s">
        <v>96</v>
      </c>
      <c r="E13" s="62">
        <v>28.502099999999999</v>
      </c>
      <c r="F13" s="62">
        <v>23.737713299999999</v>
      </c>
      <c r="G13" s="62">
        <v>36.731415900000002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</row>
    <row r="14" spans="2:391" ht="14.5" x14ac:dyDescent="0.35">
      <c r="B14" s="61"/>
      <c r="C14" s="12"/>
      <c r="D14" s="12" t="s">
        <v>97</v>
      </c>
      <c r="E14" s="62">
        <v>1.0370999999999999</v>
      </c>
      <c r="F14" s="62">
        <v>68.676727299999996</v>
      </c>
      <c r="G14" s="62">
        <v>1.556176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</row>
    <row r="15" spans="2:391" ht="14.5" x14ac:dyDescent="0.35">
      <c r="B15" s="61"/>
      <c r="C15" s="12"/>
      <c r="D15" s="12" t="s">
        <v>64</v>
      </c>
      <c r="E15" s="62">
        <v>-0.58679999999999999</v>
      </c>
      <c r="F15" s="62">
        <v>-0.66345759999999998</v>
      </c>
      <c r="G15" s="62">
        <v>-0.89511859999999999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</row>
    <row r="16" spans="2:391" ht="14.5" x14ac:dyDescent="0.35">
      <c r="B16" s="61"/>
      <c r="C16" s="12"/>
      <c r="D16" s="12" t="s">
        <v>236</v>
      </c>
      <c r="E16" s="62">
        <v>0</v>
      </c>
      <c r="F16" s="62">
        <v>0</v>
      </c>
      <c r="G16" s="62"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</row>
    <row r="17" spans="2:391" ht="14.5" x14ac:dyDescent="0.35">
      <c r="B17" s="61"/>
      <c r="C17" s="12"/>
      <c r="D17" s="12" t="s">
        <v>98</v>
      </c>
      <c r="E17" s="62">
        <v>26.349900000000002</v>
      </c>
      <c r="F17" s="62">
        <v>31.0855797</v>
      </c>
      <c r="G17" s="62">
        <v>33.761783399999999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</row>
    <row r="18" spans="2:391" ht="14.5" x14ac:dyDescent="0.35">
      <c r="B18" s="61"/>
      <c r="C18" s="12"/>
      <c r="D18" s="12" t="s">
        <v>65</v>
      </c>
      <c r="E18" s="62">
        <v>-272.58159999999998</v>
      </c>
      <c r="F18" s="62">
        <v>-337.64713</v>
      </c>
      <c r="G18" s="62">
        <v>-397.53293000000002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</row>
    <row r="19" spans="2:391" ht="14.5" x14ac:dyDescent="0.35">
      <c r="B19" s="61"/>
      <c r="C19" s="12"/>
      <c r="D19" s="12" t="s">
        <v>66</v>
      </c>
      <c r="E19" s="62">
        <v>-1085.3805</v>
      </c>
      <c r="F19" s="62">
        <v>-1188.0634175</v>
      </c>
      <c r="G19" s="62">
        <v>-1412.3968408000001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</row>
    <row r="20" spans="2:391" ht="14.5" x14ac:dyDescent="0.35">
      <c r="B20" s="61"/>
      <c r="C20" s="12"/>
      <c r="D20" s="12" t="s">
        <v>469</v>
      </c>
      <c r="E20" s="62">
        <v>0</v>
      </c>
      <c r="F20" s="62">
        <v>-2.3163999999999998</v>
      </c>
      <c r="G20" s="62">
        <v>-1.6495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</row>
    <row r="21" spans="2:391" ht="14.5" x14ac:dyDescent="0.35">
      <c r="B21" s="61" t="s">
        <v>540</v>
      </c>
      <c r="C21" s="61"/>
      <c r="D21" s="61"/>
      <c r="E21" s="62">
        <v>-1288.0762999999999</v>
      </c>
      <c r="F21" s="62">
        <v>-1386.5253668999999</v>
      </c>
      <c r="G21" s="62">
        <v>-1722.3696728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</row>
    <row r="22" spans="2:391" ht="14.5" x14ac:dyDescent="0.35">
      <c r="B22" s="61">
        <v>2</v>
      </c>
      <c r="C22" s="12" t="s">
        <v>200</v>
      </c>
      <c r="D22" s="12" t="s">
        <v>94</v>
      </c>
      <c r="E22" s="62">
        <v>4.1399999999999999E-2</v>
      </c>
      <c r="F22" s="62">
        <v>0.1460842</v>
      </c>
      <c r="G22" s="62">
        <v>3.8690099999999998E-2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</row>
    <row r="23" spans="2:391" ht="14.5" x14ac:dyDescent="0.35">
      <c r="B23" s="61"/>
      <c r="C23" s="12"/>
      <c r="D23" s="12" t="s">
        <v>5</v>
      </c>
      <c r="E23" s="62">
        <v>-961.84010000000001</v>
      </c>
      <c r="F23" s="62">
        <v>-1187.545858</v>
      </c>
      <c r="G23" s="62">
        <v>-1368.8540906000001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</row>
    <row r="24" spans="2:391" ht="14.5" x14ac:dyDescent="0.35">
      <c r="B24" s="61" t="s">
        <v>541</v>
      </c>
      <c r="C24" s="61"/>
      <c r="D24" s="61"/>
      <c r="E24" s="62">
        <v>-961.79870000000005</v>
      </c>
      <c r="F24" s="62">
        <v>-1187.3997738</v>
      </c>
      <c r="G24" s="62">
        <v>-1368.8154005000001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</row>
    <row r="25" spans="2:391" ht="14.5" x14ac:dyDescent="0.35">
      <c r="B25" s="61">
        <v>3</v>
      </c>
      <c r="C25" s="12" t="s">
        <v>202</v>
      </c>
      <c r="D25" s="12" t="s">
        <v>68</v>
      </c>
      <c r="E25" s="62">
        <v>0</v>
      </c>
      <c r="F25" s="62">
        <v>0</v>
      </c>
      <c r="G25" s="62">
        <v>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</row>
    <row r="26" spans="2:391" ht="14.5" x14ac:dyDescent="0.35">
      <c r="B26" s="61"/>
      <c r="C26" s="12"/>
      <c r="D26" s="12" t="s">
        <v>67</v>
      </c>
      <c r="E26" s="62">
        <v>0</v>
      </c>
      <c r="F26" s="62">
        <v>0</v>
      </c>
      <c r="G26" s="62">
        <v>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</row>
    <row r="27" spans="2:391" ht="14.5" x14ac:dyDescent="0.35">
      <c r="B27" s="61"/>
      <c r="C27" s="12"/>
      <c r="D27" s="12" t="s">
        <v>88</v>
      </c>
      <c r="E27" s="62">
        <v>8.9977</v>
      </c>
      <c r="F27" s="62">
        <v>10.980049999999999</v>
      </c>
      <c r="G27" s="62">
        <v>10.252115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</row>
    <row r="28" spans="2:391" ht="14.5" x14ac:dyDescent="0.35">
      <c r="B28" s="61"/>
      <c r="C28" s="12"/>
      <c r="D28" s="12" t="s">
        <v>92</v>
      </c>
      <c r="E28" s="62">
        <v>0</v>
      </c>
      <c r="F28" s="62">
        <v>0</v>
      </c>
      <c r="G28" s="62">
        <v>5.0000000000000001E-3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</row>
    <row r="29" spans="2:391" ht="14.5" x14ac:dyDescent="0.35">
      <c r="B29" s="61"/>
      <c r="C29" s="12"/>
      <c r="D29" s="12" t="s">
        <v>93</v>
      </c>
      <c r="E29" s="62">
        <v>16.650400000000001</v>
      </c>
      <c r="F29" s="62">
        <v>13.7038612</v>
      </c>
      <c r="G29" s="62">
        <v>10.001990000000001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</row>
    <row r="30" spans="2:391" ht="14.5" x14ac:dyDescent="0.35">
      <c r="B30" s="61"/>
      <c r="C30" s="12"/>
      <c r="D30" s="12" t="s">
        <v>251</v>
      </c>
      <c r="E30" s="62">
        <v>0</v>
      </c>
      <c r="F30" s="62">
        <v>0</v>
      </c>
      <c r="G30" s="62"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</row>
    <row r="31" spans="2:391" ht="14.5" x14ac:dyDescent="0.35">
      <c r="B31" s="61"/>
      <c r="C31" s="12"/>
      <c r="D31" s="12" t="s">
        <v>247</v>
      </c>
      <c r="E31" s="62">
        <v>0</v>
      </c>
      <c r="F31" s="62">
        <v>1.7479899999999999</v>
      </c>
      <c r="G31" s="62">
        <v>1.893845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</row>
    <row r="32" spans="2:391" ht="14.5" x14ac:dyDescent="0.35">
      <c r="B32" s="61"/>
      <c r="C32" s="12"/>
      <c r="D32" s="12" t="s">
        <v>63</v>
      </c>
      <c r="E32" s="62">
        <v>-382.40010000000001</v>
      </c>
      <c r="F32" s="62">
        <v>-374.72865430000002</v>
      </c>
      <c r="G32" s="62">
        <v>-372.80802240000003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</row>
    <row r="33" spans="2:391" ht="14.5" x14ac:dyDescent="0.35">
      <c r="B33" s="61"/>
      <c r="C33" s="12"/>
      <c r="D33" s="12" t="s">
        <v>99</v>
      </c>
      <c r="E33" s="62">
        <v>0</v>
      </c>
      <c r="F33" s="62">
        <v>0</v>
      </c>
      <c r="G33" s="62">
        <v>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</row>
    <row r="34" spans="2:391" ht="14.5" x14ac:dyDescent="0.35">
      <c r="B34" s="61"/>
      <c r="C34" s="12"/>
      <c r="D34" s="12" t="s">
        <v>8</v>
      </c>
      <c r="E34" s="62">
        <v>-280.23200000000003</v>
      </c>
      <c r="F34" s="62">
        <v>-270.24716090000004</v>
      </c>
      <c r="G34" s="62">
        <v>-279.5211089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</row>
    <row r="35" spans="2:391" ht="14.5" x14ac:dyDescent="0.35">
      <c r="B35" s="61"/>
      <c r="C35" s="12"/>
      <c r="D35" s="12" t="s">
        <v>252</v>
      </c>
      <c r="E35" s="62">
        <v>0</v>
      </c>
      <c r="F35" s="62">
        <v>3.4000000000000002E-2</v>
      </c>
      <c r="G35" s="62">
        <v>0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</row>
    <row r="36" spans="2:391" ht="14.5" x14ac:dyDescent="0.35">
      <c r="B36" s="61"/>
      <c r="C36" s="12"/>
      <c r="D36" s="12" t="s">
        <v>642</v>
      </c>
      <c r="E36" s="62"/>
      <c r="F36" s="62"/>
      <c r="G36" s="62">
        <v>-0.755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</row>
    <row r="37" spans="2:391" ht="14.5" x14ac:dyDescent="0.35">
      <c r="B37" s="61" t="s">
        <v>542</v>
      </c>
      <c r="C37" s="61"/>
      <c r="D37" s="61"/>
      <c r="E37" s="62">
        <v>-636.98400000000004</v>
      </c>
      <c r="F37" s="62">
        <v>-618.50991400000009</v>
      </c>
      <c r="G37" s="62">
        <v>-630.93118130000005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</row>
    <row r="38" spans="2:391" ht="14.5" x14ac:dyDescent="0.35">
      <c r="B38" s="61">
        <v>4</v>
      </c>
      <c r="C38" s="12" t="s">
        <v>201</v>
      </c>
      <c r="D38" s="12" t="s">
        <v>69</v>
      </c>
      <c r="E38" s="62">
        <v>6.1999999999999998E-3</v>
      </c>
      <c r="F38" s="62">
        <v>5.5069199999999999E-2</v>
      </c>
      <c r="G38" s="62">
        <v>6.6157900000000006E-2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</row>
    <row r="39" spans="2:391" ht="14.5" x14ac:dyDescent="0.35">
      <c r="B39" s="61"/>
      <c r="C39" s="12"/>
      <c r="D39" s="12" t="s">
        <v>94</v>
      </c>
      <c r="E39" s="62">
        <v>0</v>
      </c>
      <c r="F39" s="62">
        <v>1.395E-4</v>
      </c>
      <c r="G39" s="62">
        <v>4.5000000000000003E-5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</row>
    <row r="40" spans="2:391" ht="14.5" x14ac:dyDescent="0.35">
      <c r="B40" s="61"/>
      <c r="C40" s="12"/>
      <c r="D40" s="12" t="s">
        <v>95</v>
      </c>
      <c r="E40" s="62">
        <v>14.079799999999999</v>
      </c>
      <c r="F40" s="62">
        <v>16.109360899999999</v>
      </c>
      <c r="G40" s="62">
        <v>16.335554999999999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</row>
    <row r="41" spans="2:391" ht="14.5" x14ac:dyDescent="0.35">
      <c r="B41" s="61"/>
      <c r="C41" s="12"/>
      <c r="D41" s="12" t="s">
        <v>5</v>
      </c>
      <c r="E41" s="62">
        <v>-1.23E-2</v>
      </c>
      <c r="F41" s="62">
        <v>-7.1999999999999998E-3</v>
      </c>
      <c r="G41" s="62">
        <v>-8.9999999999999998E-4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</row>
    <row r="42" spans="2:391" ht="14.5" x14ac:dyDescent="0.35">
      <c r="B42" s="61"/>
      <c r="C42" s="12"/>
      <c r="D42" s="12" t="s">
        <v>6</v>
      </c>
      <c r="E42" s="62">
        <v>-335.4855</v>
      </c>
      <c r="F42" s="62">
        <v>-362.37066670000002</v>
      </c>
      <c r="G42" s="62">
        <v>-364.94838010000001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</row>
    <row r="43" spans="2:391" ht="14.5" x14ac:dyDescent="0.35">
      <c r="B43" s="61" t="s">
        <v>543</v>
      </c>
      <c r="C43" s="61"/>
      <c r="D43" s="61"/>
      <c r="E43" s="62">
        <v>-321.41180000000003</v>
      </c>
      <c r="F43" s="62">
        <v>-346.21329710000003</v>
      </c>
      <c r="G43" s="62">
        <v>-348.5475222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</row>
    <row r="44" spans="2:391" ht="14.5" x14ac:dyDescent="0.35">
      <c r="B44" s="61">
        <v>5</v>
      </c>
      <c r="C44" s="12" t="s">
        <v>261</v>
      </c>
      <c r="D44" s="12" t="s">
        <v>520</v>
      </c>
      <c r="E44" s="62"/>
      <c r="F44" s="62">
        <v>0</v>
      </c>
      <c r="G44" s="62">
        <v>0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</row>
    <row r="45" spans="2:391" ht="14.5" x14ac:dyDescent="0.35">
      <c r="B45" s="61"/>
      <c r="C45" s="12"/>
      <c r="D45" s="12" t="s">
        <v>11</v>
      </c>
      <c r="E45" s="62">
        <v>0</v>
      </c>
      <c r="F45" s="62">
        <v>-0.624</v>
      </c>
      <c r="G45" s="62">
        <v>-6.1499999999999999E-2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</row>
    <row r="46" spans="2:391" ht="14.5" x14ac:dyDescent="0.35">
      <c r="B46" s="61" t="s">
        <v>544</v>
      </c>
      <c r="C46" s="61"/>
      <c r="D46" s="61"/>
      <c r="E46" s="62">
        <v>0</v>
      </c>
      <c r="F46" s="62">
        <v>-0.624</v>
      </c>
      <c r="G46" s="62">
        <v>-6.1499999999999999E-2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</row>
    <row r="47" spans="2:391" ht="14.5" x14ac:dyDescent="0.35">
      <c r="B47" s="61">
        <v>6</v>
      </c>
      <c r="C47" s="12" t="s">
        <v>508</v>
      </c>
      <c r="D47" s="12" t="s">
        <v>528</v>
      </c>
      <c r="E47" s="62"/>
      <c r="F47" s="62">
        <v>-0.25629390000000002</v>
      </c>
      <c r="G47" s="62">
        <v>-0.35859930000000001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</row>
    <row r="48" spans="2:391" ht="14.5" x14ac:dyDescent="0.35">
      <c r="B48" s="61"/>
      <c r="C48" s="12"/>
      <c r="D48" s="12" t="s">
        <v>342</v>
      </c>
      <c r="E48" s="62">
        <v>-0.3483</v>
      </c>
      <c r="F48" s="62">
        <v>0</v>
      </c>
      <c r="G48" s="62">
        <v>0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</row>
    <row r="49" spans="2:391" ht="14.5" x14ac:dyDescent="0.35">
      <c r="B49" s="61"/>
      <c r="C49" s="12"/>
      <c r="D49" s="12" t="s">
        <v>343</v>
      </c>
      <c r="E49" s="62">
        <v>-6.3487999999999998</v>
      </c>
      <c r="F49" s="62">
        <v>-6.6073336999999999</v>
      </c>
      <c r="G49" s="62">
        <v>-6.4669641000000002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</row>
    <row r="50" spans="2:391" ht="14.5" x14ac:dyDescent="0.35">
      <c r="B50" s="61"/>
      <c r="C50" s="12"/>
      <c r="D50" s="12" t="s">
        <v>344</v>
      </c>
      <c r="E50" s="62">
        <v>-2.1871999999999998</v>
      </c>
      <c r="F50" s="62">
        <v>-0.86128450000000001</v>
      </c>
      <c r="G50" s="62">
        <v>-0.14000000000000001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</row>
    <row r="51" spans="2:391" ht="14.5" x14ac:dyDescent="0.35">
      <c r="B51" s="61"/>
      <c r="C51" s="12"/>
      <c r="D51" s="12" t="s">
        <v>356</v>
      </c>
      <c r="E51" s="62">
        <v>-4.0000000000000002E-4</v>
      </c>
      <c r="F51" s="62">
        <v>0</v>
      </c>
      <c r="G51" s="62">
        <v>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</row>
    <row r="52" spans="2:391" ht="14.5" x14ac:dyDescent="0.35">
      <c r="B52" s="61"/>
      <c r="C52" s="12"/>
      <c r="D52" s="12" t="s">
        <v>345</v>
      </c>
      <c r="E52" s="62">
        <v>-13.956</v>
      </c>
      <c r="F52" s="62">
        <v>-12.539300900000001</v>
      </c>
      <c r="G52" s="62">
        <v>-14.528165599999999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</row>
    <row r="53" spans="2:391" ht="14.5" x14ac:dyDescent="0.35">
      <c r="B53" s="61"/>
      <c r="C53" s="12"/>
      <c r="D53" s="12" t="s">
        <v>346</v>
      </c>
      <c r="E53" s="62">
        <v>-3.1615000000000002</v>
      </c>
      <c r="F53" s="62">
        <v>-3.8569591999999999</v>
      </c>
      <c r="G53" s="62">
        <v>-4.9456552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</row>
    <row r="54" spans="2:391" ht="14.5" x14ac:dyDescent="0.35">
      <c r="B54" s="61"/>
      <c r="C54" s="12"/>
      <c r="D54" s="12" t="s">
        <v>347</v>
      </c>
      <c r="E54" s="62">
        <v>-46.880200000000002</v>
      </c>
      <c r="F54" s="62">
        <v>-50.9147952</v>
      </c>
      <c r="G54" s="62">
        <v>-56.336823099999997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</row>
    <row r="55" spans="2:391" ht="14.5" x14ac:dyDescent="0.35">
      <c r="B55" s="61"/>
      <c r="C55" s="12"/>
      <c r="D55" s="12" t="s">
        <v>348</v>
      </c>
      <c r="E55" s="62">
        <v>-29.406099999999999</v>
      </c>
      <c r="F55" s="62">
        <v>-28.846162799999998</v>
      </c>
      <c r="G55" s="62">
        <v>-35.942488099999998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</row>
    <row r="56" spans="2:391" ht="14.5" x14ac:dyDescent="0.35">
      <c r="B56" s="61"/>
      <c r="C56" s="12"/>
      <c r="D56" s="12" t="s">
        <v>349</v>
      </c>
      <c r="E56" s="62">
        <v>-2.7665000000000002</v>
      </c>
      <c r="F56" s="62">
        <v>-2.7035550000000002</v>
      </c>
      <c r="G56" s="62">
        <v>-3.3708900000000002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</row>
    <row r="57" spans="2:391" ht="14.5" x14ac:dyDescent="0.35">
      <c r="B57" s="61"/>
      <c r="C57" s="12"/>
      <c r="D57" s="12" t="s">
        <v>350</v>
      </c>
      <c r="E57" s="62">
        <v>-21.5855</v>
      </c>
      <c r="F57" s="62">
        <v>-20.889050000000001</v>
      </c>
      <c r="G57" s="62">
        <v>-26.93112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</row>
    <row r="58" spans="2:391" ht="14.5" x14ac:dyDescent="0.35">
      <c r="B58" s="61"/>
      <c r="C58" s="12"/>
      <c r="D58" s="12" t="s">
        <v>402</v>
      </c>
      <c r="E58" s="62">
        <v>0</v>
      </c>
      <c r="F58" s="62">
        <v>0</v>
      </c>
      <c r="G58" s="62">
        <v>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</row>
    <row r="59" spans="2:391" ht="14.5" x14ac:dyDescent="0.35">
      <c r="B59" s="61"/>
      <c r="C59" s="12"/>
      <c r="D59" s="12" t="s">
        <v>351</v>
      </c>
      <c r="E59" s="62">
        <v>-1.9300000000000001E-2</v>
      </c>
      <c r="F59" s="62">
        <v>-1.5665100000000001E-2</v>
      </c>
      <c r="G59" s="62">
        <v>-2.6785E-2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</row>
    <row r="60" spans="2:391" ht="14.5" x14ac:dyDescent="0.35">
      <c r="B60" s="61"/>
      <c r="C60" s="12"/>
      <c r="D60" s="12" t="s">
        <v>352</v>
      </c>
      <c r="E60" s="62">
        <v>-1.7054</v>
      </c>
      <c r="F60" s="62">
        <v>0</v>
      </c>
      <c r="G60" s="62">
        <v>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</row>
    <row r="61" spans="2:391" ht="14.5" x14ac:dyDescent="0.35">
      <c r="B61" s="61"/>
      <c r="C61" s="12"/>
      <c r="D61" s="12" t="s">
        <v>353</v>
      </c>
      <c r="E61" s="62">
        <v>-1.6160000000000001</v>
      </c>
      <c r="F61" s="62">
        <v>-2.47566E-2</v>
      </c>
      <c r="G61" s="62">
        <v>-4.8533E-2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</row>
    <row r="62" spans="2:391" ht="14.5" x14ac:dyDescent="0.35">
      <c r="B62" s="61"/>
      <c r="C62" s="12"/>
      <c r="D62" s="12" t="s">
        <v>354</v>
      </c>
      <c r="E62" s="62">
        <v>0</v>
      </c>
      <c r="F62" s="62">
        <v>-3.0359829</v>
      </c>
      <c r="G62" s="62">
        <v>-3.3350178000000001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</row>
    <row r="63" spans="2:391" ht="14.5" x14ac:dyDescent="0.35">
      <c r="B63" s="61"/>
      <c r="C63" s="12"/>
      <c r="D63" s="12" t="s">
        <v>337</v>
      </c>
      <c r="E63" s="62">
        <v>-0.27450000000000002</v>
      </c>
      <c r="F63" s="62">
        <v>-0.30942999999999998</v>
      </c>
      <c r="G63" s="62">
        <v>-0.36919000000000002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</row>
    <row r="64" spans="2:391" ht="14.5" x14ac:dyDescent="0.35">
      <c r="B64" s="61"/>
      <c r="C64" s="12"/>
      <c r="D64" s="12" t="s">
        <v>338</v>
      </c>
      <c r="E64" s="62">
        <v>-2.2000000000000001E-3</v>
      </c>
      <c r="F64" s="62">
        <v>-2.6354999999999998E-3</v>
      </c>
      <c r="G64" s="62">
        <v>-2.6194E-3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</row>
    <row r="65" spans="2:391" ht="14.5" x14ac:dyDescent="0.35">
      <c r="B65" s="61"/>
      <c r="C65" s="12"/>
      <c r="D65" s="12" t="s">
        <v>355</v>
      </c>
      <c r="E65" s="62">
        <v>-3.1972999999999998</v>
      </c>
      <c r="F65" s="62">
        <v>-3.1642321</v>
      </c>
      <c r="G65" s="62">
        <v>-3.2270726000000001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</row>
    <row r="66" spans="2:391" ht="14.5" x14ac:dyDescent="0.35">
      <c r="B66" s="61"/>
      <c r="C66" s="12"/>
      <c r="D66" s="12" t="s">
        <v>408</v>
      </c>
      <c r="E66" s="62">
        <v>0</v>
      </c>
      <c r="F66" s="62">
        <v>0</v>
      </c>
      <c r="G66" s="62">
        <v>0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</row>
    <row r="67" spans="2:391" ht="14.5" x14ac:dyDescent="0.35">
      <c r="B67" s="61" t="s">
        <v>545</v>
      </c>
      <c r="C67" s="61"/>
      <c r="D67" s="61"/>
      <c r="E67" s="62">
        <v>-133.45519999999999</v>
      </c>
      <c r="F67" s="62">
        <v>-134.0274374</v>
      </c>
      <c r="G67" s="62">
        <v>-156.02992319999998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</row>
    <row r="68" spans="2:391" ht="14.5" x14ac:dyDescent="0.35">
      <c r="B68" s="61">
        <v>7</v>
      </c>
      <c r="C68" s="12" t="s">
        <v>12</v>
      </c>
      <c r="D68" s="12" t="s">
        <v>24</v>
      </c>
      <c r="E68" s="62">
        <v>-0.12989999999999999</v>
      </c>
      <c r="F68" s="62">
        <v>-1.0252399999999999</v>
      </c>
      <c r="G68" s="62">
        <v>-6.0737300000000001E-2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</row>
    <row r="69" spans="2:391" ht="14.5" x14ac:dyDescent="0.35">
      <c r="B69" s="61"/>
      <c r="C69" s="12"/>
      <c r="D69" s="12" t="s">
        <v>248</v>
      </c>
      <c r="E69" s="62">
        <v>0</v>
      </c>
      <c r="F69" s="62">
        <v>0</v>
      </c>
      <c r="G69" s="62">
        <v>0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</row>
    <row r="70" spans="2:391" ht="14.5" x14ac:dyDescent="0.35">
      <c r="B70" s="61"/>
      <c r="C70" s="12"/>
      <c r="D70" s="12" t="s">
        <v>16</v>
      </c>
      <c r="E70" s="62">
        <v>0</v>
      </c>
      <c r="F70" s="62">
        <v>-1.2994000000000001</v>
      </c>
      <c r="G70" s="62">
        <v>-0.32996720000000002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</row>
    <row r="71" spans="2:391" ht="14.5" x14ac:dyDescent="0.35">
      <c r="B71" s="61"/>
      <c r="C71" s="12"/>
      <c r="D71" s="12" t="s">
        <v>76</v>
      </c>
      <c r="E71" s="62">
        <v>-4.0250000000000004</v>
      </c>
      <c r="F71" s="62">
        <v>-4.05</v>
      </c>
      <c r="G71" s="62">
        <v>-4.4000000000000004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</row>
    <row r="72" spans="2:391" ht="14.5" x14ac:dyDescent="0.35">
      <c r="B72" s="61"/>
      <c r="C72" s="12"/>
      <c r="D72" s="12" t="s">
        <v>519</v>
      </c>
      <c r="E72" s="62"/>
      <c r="F72" s="62">
        <v>0</v>
      </c>
      <c r="G72" s="62">
        <v>0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</row>
    <row r="73" spans="2:391" ht="14.5" x14ac:dyDescent="0.35">
      <c r="B73" s="61"/>
      <c r="C73" s="12"/>
      <c r="D73" s="12" t="s">
        <v>527</v>
      </c>
      <c r="E73" s="62"/>
      <c r="F73" s="62">
        <v>0</v>
      </c>
      <c r="G73" s="62">
        <v>0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</row>
    <row r="74" spans="2:391" ht="14.5" x14ac:dyDescent="0.35">
      <c r="B74" s="61"/>
      <c r="C74" s="12"/>
      <c r="D74" s="12" t="s">
        <v>10</v>
      </c>
      <c r="E74" s="62">
        <v>3.75</v>
      </c>
      <c r="F74" s="62">
        <v>0</v>
      </c>
      <c r="G74" s="62">
        <v>0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</row>
    <row r="75" spans="2:391" ht="14.5" x14ac:dyDescent="0.35">
      <c r="B75" s="61"/>
      <c r="C75" s="12"/>
      <c r="D75" s="12" t="s">
        <v>476</v>
      </c>
      <c r="E75" s="62">
        <v>0</v>
      </c>
      <c r="F75" s="62">
        <v>0</v>
      </c>
      <c r="G75" s="62">
        <v>0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</row>
    <row r="76" spans="2:391" ht="14.5" x14ac:dyDescent="0.35">
      <c r="B76" s="61"/>
      <c r="C76" s="12"/>
      <c r="D76" s="12" t="s">
        <v>475</v>
      </c>
      <c r="E76" s="62">
        <v>0</v>
      </c>
      <c r="F76" s="62">
        <v>-12.3613</v>
      </c>
      <c r="G76" s="62">
        <v>0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</row>
    <row r="77" spans="2:391" ht="14.5" x14ac:dyDescent="0.35">
      <c r="B77" s="61"/>
      <c r="C77" s="12"/>
      <c r="D77" s="12" t="s">
        <v>14</v>
      </c>
      <c r="E77" s="62">
        <v>-1.0395000000000001</v>
      </c>
      <c r="F77" s="62">
        <v>-327.43719399999998</v>
      </c>
      <c r="G77" s="62">
        <v>-36.6947829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</row>
    <row r="78" spans="2:391" ht="14.5" x14ac:dyDescent="0.35">
      <c r="B78" s="61"/>
      <c r="C78" s="12"/>
      <c r="D78" s="12" t="s">
        <v>249</v>
      </c>
      <c r="E78" s="62">
        <v>0</v>
      </c>
      <c r="F78" s="62">
        <v>0</v>
      </c>
      <c r="G78" s="62">
        <v>0</v>
      </c>
      <c r="H78"/>
      <c r="I78"/>
      <c r="J78"/>
      <c r="K78"/>
      <c r="L78"/>
      <c r="M78"/>
      <c r="N78"/>
      <c r="O78"/>
      <c r="P78"/>
      <c r="Q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</row>
    <row r="79" spans="2:391" ht="14.5" x14ac:dyDescent="0.35">
      <c r="B79" s="61"/>
      <c r="C79" s="12"/>
      <c r="D79" s="12" t="s">
        <v>17</v>
      </c>
      <c r="E79" s="62">
        <v>-2.0799999999999999E-2</v>
      </c>
      <c r="F79" s="62">
        <v>-0.11991</v>
      </c>
      <c r="G79" s="62">
        <v>-7.9660000000000009E-2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</row>
    <row r="80" spans="2:391" ht="14.5" x14ac:dyDescent="0.35">
      <c r="B80" s="61"/>
      <c r="C80" s="12"/>
      <c r="D80" s="12" t="s">
        <v>18</v>
      </c>
      <c r="E80" s="62">
        <v>0.25840000000000002</v>
      </c>
      <c r="F80" s="62">
        <v>-1.5815900000000001</v>
      </c>
      <c r="G80" s="62">
        <v>-1.5949199999999999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</row>
    <row r="81" spans="2:391" ht="14.5" x14ac:dyDescent="0.35">
      <c r="B81" s="61"/>
      <c r="C81" s="12"/>
      <c r="D81" s="12" t="s">
        <v>339</v>
      </c>
      <c r="E81" s="62">
        <v>0</v>
      </c>
      <c r="F81" s="62">
        <v>0</v>
      </c>
      <c r="G81" s="62">
        <v>0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</row>
    <row r="82" spans="2:391" ht="14.5" x14ac:dyDescent="0.35">
      <c r="B82" s="61"/>
      <c r="C82" s="12"/>
      <c r="D82" s="12" t="s">
        <v>12</v>
      </c>
      <c r="E82" s="62">
        <v>0</v>
      </c>
      <c r="F82" s="62">
        <v>0.23421790000000001</v>
      </c>
      <c r="G82" s="62">
        <v>0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</row>
    <row r="83" spans="2:391" ht="14.5" x14ac:dyDescent="0.35">
      <c r="B83" s="61"/>
      <c r="C83" s="12"/>
      <c r="D83" s="12" t="s">
        <v>70</v>
      </c>
      <c r="E83" s="62">
        <v>0</v>
      </c>
      <c r="F83" s="62">
        <v>0</v>
      </c>
      <c r="G83" s="62">
        <v>0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</row>
    <row r="84" spans="2:391" ht="14.5" x14ac:dyDescent="0.35">
      <c r="B84" s="61"/>
      <c r="C84" s="12"/>
      <c r="D84" s="12" t="s">
        <v>71</v>
      </c>
      <c r="E84" s="62">
        <v>0</v>
      </c>
      <c r="F84" s="62">
        <v>0</v>
      </c>
      <c r="G84" s="62">
        <v>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</row>
    <row r="85" spans="2:391" ht="14.5" x14ac:dyDescent="0.35">
      <c r="B85" s="61"/>
      <c r="C85" s="12"/>
      <c r="D85" s="12" t="s">
        <v>75</v>
      </c>
      <c r="E85" s="62">
        <v>-1.3846000000000001</v>
      </c>
      <c r="F85" s="62">
        <v>-2.13008</v>
      </c>
      <c r="G85" s="62">
        <v>-1.96716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</row>
    <row r="86" spans="2:391" ht="14.5" x14ac:dyDescent="0.35">
      <c r="B86" s="61"/>
      <c r="C86" s="12"/>
      <c r="D86" s="12" t="s">
        <v>19</v>
      </c>
      <c r="E86" s="62">
        <v>2.2000000000000001E-3</v>
      </c>
      <c r="F86" s="62">
        <v>3.4729999999999999E-4</v>
      </c>
      <c r="G86" s="62">
        <v>-9.1710000000000001E-4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</row>
    <row r="87" spans="2:391" ht="14.5" x14ac:dyDescent="0.35">
      <c r="B87" s="61"/>
      <c r="C87" s="12"/>
      <c r="D87" s="12" t="s">
        <v>72</v>
      </c>
      <c r="E87" s="62">
        <v>-1.6904999999999999</v>
      </c>
      <c r="F87" s="62">
        <v>-0.84710739999999995</v>
      </c>
      <c r="G87" s="62">
        <v>-0.5370336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</row>
    <row r="88" spans="2:391" ht="14.5" x14ac:dyDescent="0.35">
      <c r="B88" s="61"/>
      <c r="C88" s="12"/>
      <c r="D88" s="12" t="s">
        <v>340</v>
      </c>
      <c r="E88" s="62">
        <v>0</v>
      </c>
      <c r="F88" s="62">
        <v>-8.7800000000000003E-2</v>
      </c>
      <c r="G88" s="62">
        <v>0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</row>
    <row r="89" spans="2:391" ht="14.5" x14ac:dyDescent="0.35">
      <c r="B89" s="61"/>
      <c r="C89" s="12"/>
      <c r="D89" s="12" t="s">
        <v>73</v>
      </c>
      <c r="E89" s="62">
        <v>0</v>
      </c>
      <c r="F89" s="62">
        <v>-0.16016</v>
      </c>
      <c r="G89" s="62">
        <v>-1.05932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</row>
    <row r="90" spans="2:391" ht="14.5" x14ac:dyDescent="0.35">
      <c r="B90" s="61"/>
      <c r="C90" s="12"/>
      <c r="D90" s="12" t="s">
        <v>77</v>
      </c>
      <c r="E90" s="62">
        <v>-17.2745</v>
      </c>
      <c r="F90" s="62">
        <v>-1.67784</v>
      </c>
      <c r="G90" s="62">
        <v>-2.1356700000000002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</row>
    <row r="91" spans="2:391" ht="14.5" x14ac:dyDescent="0.35">
      <c r="B91" s="61"/>
      <c r="C91" s="12"/>
      <c r="D91" s="12" t="s">
        <v>341</v>
      </c>
      <c r="E91" s="62">
        <v>0</v>
      </c>
      <c r="F91" s="62">
        <v>0</v>
      </c>
      <c r="G91" s="62">
        <v>0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</row>
    <row r="92" spans="2:391" ht="14.5" x14ac:dyDescent="0.35">
      <c r="B92" s="61"/>
      <c r="C92" s="12"/>
      <c r="D92" s="12" t="s">
        <v>74</v>
      </c>
      <c r="E92" s="62">
        <v>-0.4627</v>
      </c>
      <c r="F92" s="62">
        <v>-0.43135000000000001</v>
      </c>
      <c r="G92" s="62">
        <v>-0.26524999999999999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</row>
    <row r="93" spans="2:391" ht="14.5" x14ac:dyDescent="0.35">
      <c r="B93" s="61"/>
      <c r="C93" s="12"/>
      <c r="D93" s="12" t="s">
        <v>646</v>
      </c>
      <c r="E93" s="62"/>
      <c r="F93" s="62"/>
      <c r="G93" s="62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</row>
    <row r="94" spans="2:391" ht="14.5" x14ac:dyDescent="0.35">
      <c r="B94" s="61" t="s">
        <v>546</v>
      </c>
      <c r="C94" s="61"/>
      <c r="D94" s="61"/>
      <c r="E94" s="62">
        <v>-22.016900000000003</v>
      </c>
      <c r="F94" s="62">
        <v>-352.97440620000015</v>
      </c>
      <c r="G94" s="62">
        <v>-49.125418099999997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</row>
    <row r="95" spans="2:391" ht="14.5" x14ac:dyDescent="0.35">
      <c r="B95" s="61">
        <v>8</v>
      </c>
      <c r="C95" s="12" t="s">
        <v>268</v>
      </c>
      <c r="D95" s="12" t="s">
        <v>510</v>
      </c>
      <c r="E95" s="62">
        <v>-1023.3495999999999</v>
      </c>
      <c r="F95" s="62">
        <v>-1043.773294759</v>
      </c>
      <c r="G95" s="62">
        <v>-1032.9093020099999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</row>
    <row r="96" spans="2:391" ht="14.5" x14ac:dyDescent="0.35">
      <c r="B96" s="61"/>
      <c r="C96" s="12"/>
      <c r="D96" s="12" t="s">
        <v>470</v>
      </c>
      <c r="E96" s="62">
        <v>0</v>
      </c>
      <c r="F96" s="62">
        <v>0</v>
      </c>
      <c r="G96" s="62">
        <v>0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</row>
    <row r="97" spans="2:391" ht="14.5" x14ac:dyDescent="0.35">
      <c r="B97" s="61"/>
      <c r="C97" s="12"/>
      <c r="D97" s="12" t="s">
        <v>377</v>
      </c>
      <c r="E97" s="62">
        <v>-4.9700000000000001E-2</v>
      </c>
      <c r="F97" s="62">
        <v>-6.1018900000000001E-2</v>
      </c>
      <c r="G97" s="62">
        <v>-4.6884700000000001E-2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</row>
    <row r="98" spans="2:391" ht="14.5" x14ac:dyDescent="0.35">
      <c r="B98" s="61"/>
      <c r="C98" s="12"/>
      <c r="D98" s="12" t="s">
        <v>509</v>
      </c>
      <c r="E98" s="62">
        <v>864.0326</v>
      </c>
      <c r="F98" s="62">
        <v>1009.583787491</v>
      </c>
      <c r="G98" s="62">
        <v>1035.773294759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</row>
    <row r="99" spans="2:391" ht="14.5" x14ac:dyDescent="0.35">
      <c r="B99" s="61"/>
      <c r="C99" s="12"/>
      <c r="D99" s="12" t="s">
        <v>409</v>
      </c>
      <c r="E99" s="62">
        <v>0</v>
      </c>
      <c r="F99" s="62">
        <v>0</v>
      </c>
      <c r="G99" s="62">
        <v>0.31063429999999997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</row>
    <row r="100" spans="2:391" ht="14.5" x14ac:dyDescent="0.35">
      <c r="B100" s="61"/>
      <c r="C100" s="12"/>
      <c r="D100" s="12" t="s">
        <v>358</v>
      </c>
      <c r="E100" s="62">
        <v>2.8712</v>
      </c>
      <c r="F100" s="62">
        <v>2.6682158</v>
      </c>
      <c r="G100" s="62">
        <v>3.0565978999999999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</row>
    <row r="101" spans="2:391" ht="14.5" x14ac:dyDescent="0.35">
      <c r="B101" s="61"/>
      <c r="C101" s="12"/>
      <c r="D101" s="12" t="s">
        <v>372</v>
      </c>
      <c r="E101" s="62">
        <v>4.5198</v>
      </c>
      <c r="F101" s="62">
        <v>0.11540060000000001</v>
      </c>
      <c r="G101" s="62">
        <v>0.72201919999999997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</row>
    <row r="102" spans="2:391" ht="14.5" x14ac:dyDescent="0.35">
      <c r="B102" s="61"/>
      <c r="C102" s="12"/>
      <c r="D102" s="12" t="s">
        <v>403</v>
      </c>
      <c r="E102" s="62">
        <v>0</v>
      </c>
      <c r="F102" s="62">
        <v>0</v>
      </c>
      <c r="G102" s="62">
        <v>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</row>
    <row r="103" spans="2:391" ht="14.5" x14ac:dyDescent="0.35">
      <c r="B103" s="61"/>
      <c r="C103" s="12"/>
      <c r="D103" s="12" t="s">
        <v>373</v>
      </c>
      <c r="E103" s="62">
        <v>-1.66E-2</v>
      </c>
      <c r="F103" s="62">
        <v>-1.7399999999999999E-2</v>
      </c>
      <c r="G103" s="62">
        <v>-0.10136000000000001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</row>
    <row r="104" spans="2:391" ht="14.5" x14ac:dyDescent="0.35">
      <c r="B104" s="61"/>
      <c r="C104" s="12"/>
      <c r="D104" s="12" t="s">
        <v>359</v>
      </c>
      <c r="E104" s="62">
        <v>12.564</v>
      </c>
      <c r="F104" s="62">
        <v>13.144751299999999</v>
      </c>
      <c r="G104" s="62">
        <v>14.839601999999999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</row>
    <row r="105" spans="2:391" ht="14.5" x14ac:dyDescent="0.35">
      <c r="B105" s="61"/>
      <c r="C105" s="12"/>
      <c r="D105" s="12" t="s">
        <v>357</v>
      </c>
      <c r="E105" s="62">
        <v>8.0770999999999997</v>
      </c>
      <c r="F105" s="62">
        <v>10.2782994</v>
      </c>
      <c r="G105" s="62">
        <v>10.783127500000001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</row>
    <row r="106" spans="2:391" ht="14.5" x14ac:dyDescent="0.35">
      <c r="B106" s="61"/>
      <c r="C106" s="12"/>
      <c r="D106" s="12" t="s">
        <v>360</v>
      </c>
      <c r="E106" s="62">
        <v>5.5755999999999997</v>
      </c>
      <c r="F106" s="62">
        <v>6.9769034000000003</v>
      </c>
      <c r="G106" s="62">
        <v>7.3199969999999999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</row>
    <row r="107" spans="2:391" ht="14.5" x14ac:dyDescent="0.35">
      <c r="B107" s="61"/>
      <c r="C107" s="12"/>
      <c r="D107" s="12" t="s">
        <v>361</v>
      </c>
      <c r="E107" s="62">
        <v>8.8909000000000002</v>
      </c>
      <c r="F107" s="62">
        <v>10.6963837</v>
      </c>
      <c r="G107" s="62">
        <v>10.935893399999999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</row>
    <row r="108" spans="2:391" ht="14.5" x14ac:dyDescent="0.35">
      <c r="B108" s="61"/>
      <c r="C108" s="12"/>
      <c r="D108" s="12" t="s">
        <v>362</v>
      </c>
      <c r="E108" s="62">
        <v>0.85119999999999996</v>
      </c>
      <c r="F108" s="62">
        <v>0.36676350000000002</v>
      </c>
      <c r="G108" s="62">
        <v>1.4776359999999999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</row>
    <row r="109" spans="2:391" ht="14.5" x14ac:dyDescent="0.35">
      <c r="B109" s="61"/>
      <c r="C109" s="12"/>
      <c r="D109" s="12" t="s">
        <v>363</v>
      </c>
      <c r="E109" s="62">
        <v>30.724699999999999</v>
      </c>
      <c r="F109" s="62">
        <v>27.103901</v>
      </c>
      <c r="G109" s="62">
        <v>42.571631699999998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</row>
    <row r="110" spans="2:391" ht="14.5" x14ac:dyDescent="0.35">
      <c r="B110" s="61"/>
      <c r="C110" s="12"/>
      <c r="D110" s="12" t="s">
        <v>369</v>
      </c>
      <c r="E110" s="62">
        <v>4.4867999999999997</v>
      </c>
      <c r="F110" s="62">
        <v>4.3197026999999997</v>
      </c>
      <c r="G110" s="62">
        <v>6.775201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</row>
    <row r="111" spans="2:391" ht="14.5" x14ac:dyDescent="0.35">
      <c r="B111" s="61"/>
      <c r="C111" s="12"/>
      <c r="D111" s="12" t="s">
        <v>100</v>
      </c>
      <c r="E111" s="62">
        <v>0</v>
      </c>
      <c r="F111" s="62">
        <v>0</v>
      </c>
      <c r="G111" s="62">
        <v>5.3237556000000001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</row>
    <row r="112" spans="2:391" ht="14.5" x14ac:dyDescent="0.35">
      <c r="B112" s="61"/>
      <c r="C112" s="12"/>
      <c r="D112" s="12" t="s">
        <v>522</v>
      </c>
      <c r="E112" s="62"/>
      <c r="F112" s="62">
        <v>-1.0306600000000001E-2</v>
      </c>
      <c r="G112" s="62">
        <v>0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</row>
    <row r="113" spans="2:391" ht="14.5" x14ac:dyDescent="0.35">
      <c r="B113" s="61"/>
      <c r="C113" s="12"/>
      <c r="D113" s="12" t="s">
        <v>473</v>
      </c>
      <c r="E113" s="62">
        <v>7.1353</v>
      </c>
      <c r="F113" s="62">
        <v>23.2071781</v>
      </c>
      <c r="G113" s="62">
        <v>18.3737149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</row>
    <row r="114" spans="2:391" ht="14.5" x14ac:dyDescent="0.35">
      <c r="B114" s="61"/>
      <c r="C114" s="12"/>
      <c r="D114" s="12" t="s">
        <v>79</v>
      </c>
      <c r="E114" s="62">
        <v>434.20760000000001</v>
      </c>
      <c r="F114" s="62">
        <v>439.10317839999999</v>
      </c>
      <c r="G114" s="62">
        <v>492.71861280000002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</row>
    <row r="115" spans="2:391" ht="14.5" x14ac:dyDescent="0.35">
      <c r="B115" s="61"/>
      <c r="C115" s="12"/>
      <c r="D115" s="12" t="s">
        <v>80</v>
      </c>
      <c r="E115" s="62">
        <v>1.0262</v>
      </c>
      <c r="F115" s="62">
        <v>2.5023200000000001</v>
      </c>
      <c r="G115" s="62">
        <v>7.3642266999999997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</row>
    <row r="116" spans="2:391" ht="14.5" x14ac:dyDescent="0.35">
      <c r="B116" s="61"/>
      <c r="C116" s="12"/>
      <c r="D116" s="12" t="s">
        <v>81</v>
      </c>
      <c r="E116" s="62">
        <v>0</v>
      </c>
      <c r="F116" s="62">
        <v>0</v>
      </c>
      <c r="G116" s="62">
        <v>0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</row>
    <row r="117" spans="2:391" ht="14.5" x14ac:dyDescent="0.35">
      <c r="B117" s="61"/>
      <c r="C117" s="12"/>
      <c r="D117" s="12" t="s">
        <v>250</v>
      </c>
      <c r="E117" s="62">
        <v>0</v>
      </c>
      <c r="F117" s="62">
        <v>0.1176036</v>
      </c>
      <c r="G117" s="62">
        <v>0.10976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</row>
    <row r="118" spans="2:391" ht="14.5" x14ac:dyDescent="0.35">
      <c r="B118" s="61"/>
      <c r="C118" s="12"/>
      <c r="D118" s="12" t="s">
        <v>82</v>
      </c>
      <c r="E118" s="62">
        <v>3.8881999999999999</v>
      </c>
      <c r="F118" s="62">
        <v>5.5648200000000001</v>
      </c>
      <c r="G118" s="62">
        <v>5.8336714000000001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</row>
    <row r="119" spans="2:391" ht="14.5" x14ac:dyDescent="0.35">
      <c r="B119" s="61"/>
      <c r="C119" s="12"/>
      <c r="D119" s="12" t="s">
        <v>78</v>
      </c>
      <c r="E119" s="62">
        <v>358.82169999999996</v>
      </c>
      <c r="F119" s="62">
        <v>356.76152199999996</v>
      </c>
      <c r="G119" s="62">
        <v>403.10547550000001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</row>
    <row r="120" spans="2:391" ht="14.5" x14ac:dyDescent="0.35">
      <c r="B120" s="61"/>
      <c r="C120" s="12"/>
      <c r="D120" s="12" t="s">
        <v>83</v>
      </c>
      <c r="E120" s="62">
        <v>2.0367999999999999</v>
      </c>
      <c r="F120" s="62">
        <v>0</v>
      </c>
      <c r="G120" s="62">
        <v>0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</row>
    <row r="121" spans="2:391" ht="14.5" x14ac:dyDescent="0.35">
      <c r="B121" s="61"/>
      <c r="C121" s="12"/>
      <c r="D121" s="12" t="s">
        <v>84</v>
      </c>
      <c r="E121" s="62">
        <v>137.99959999999999</v>
      </c>
      <c r="F121" s="62">
        <v>180.02063799999999</v>
      </c>
      <c r="G121" s="62">
        <v>210.550128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</row>
    <row r="122" spans="2:391" ht="14.5" x14ac:dyDescent="0.35">
      <c r="B122" s="61" t="s">
        <v>547</v>
      </c>
      <c r="C122" s="61"/>
      <c r="D122" s="61"/>
      <c r="E122" s="62">
        <v>864.29340000000002</v>
      </c>
      <c r="F122" s="62">
        <v>1048.6693487319999</v>
      </c>
      <c r="G122" s="62">
        <v>1244.8874329490002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</row>
    <row r="123" spans="2:391" ht="14.5" x14ac:dyDescent="0.35">
      <c r="B123" s="61">
        <v>9</v>
      </c>
      <c r="C123" s="12" t="s">
        <v>205</v>
      </c>
      <c r="D123" s="12" t="s">
        <v>122</v>
      </c>
      <c r="E123" s="62">
        <v>418.60049999999995</v>
      </c>
      <c r="F123" s="62">
        <v>477.12159860000003</v>
      </c>
      <c r="G123" s="62">
        <v>474.97961550000002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</row>
    <row r="124" spans="2:391" ht="14.5" x14ac:dyDescent="0.35">
      <c r="B124" s="61"/>
      <c r="C124" s="12"/>
      <c r="D124" s="12" t="s">
        <v>124</v>
      </c>
      <c r="E124" s="62">
        <v>67.617200000000011</v>
      </c>
      <c r="F124" s="62">
        <v>52.953600000000002</v>
      </c>
      <c r="G124" s="62">
        <v>59.04804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</row>
    <row r="125" spans="2:391" ht="14.5" x14ac:dyDescent="0.35">
      <c r="B125" s="61"/>
      <c r="C125" s="12"/>
      <c r="D125" s="12" t="s">
        <v>123</v>
      </c>
      <c r="E125" s="62">
        <v>83.439899999999994</v>
      </c>
      <c r="F125" s="62">
        <v>110.86288999999999</v>
      </c>
      <c r="G125" s="62">
        <v>124.00185999999999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</row>
    <row r="126" spans="2:391" ht="14.5" x14ac:dyDescent="0.35">
      <c r="B126" s="61"/>
      <c r="C126" s="12"/>
      <c r="D126" s="12" t="s">
        <v>170</v>
      </c>
      <c r="E126" s="62">
        <v>0</v>
      </c>
      <c r="F126" s="62">
        <v>0</v>
      </c>
      <c r="G126" s="62">
        <v>0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</row>
    <row r="127" spans="2:391" ht="14.5" x14ac:dyDescent="0.35">
      <c r="B127" s="61"/>
      <c r="C127" s="12"/>
      <c r="D127" s="12" t="s">
        <v>474</v>
      </c>
      <c r="E127" s="62">
        <v>0</v>
      </c>
      <c r="F127" s="62">
        <v>0.65466000000000002</v>
      </c>
      <c r="G127" s="62">
        <v>0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</row>
    <row r="128" spans="2:391" ht="14.5" x14ac:dyDescent="0.35">
      <c r="B128" s="61"/>
      <c r="C128" s="12"/>
      <c r="D128" s="12" t="s">
        <v>102</v>
      </c>
      <c r="E128" s="62">
        <v>55.106499999999997</v>
      </c>
      <c r="F128" s="62">
        <v>57.312359999999998</v>
      </c>
      <c r="G128" s="62">
        <v>56.622159999999994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</row>
    <row r="129" spans="2:391" ht="14.5" x14ac:dyDescent="0.35">
      <c r="B129" s="61" t="s">
        <v>548</v>
      </c>
      <c r="C129" s="61"/>
      <c r="D129" s="61"/>
      <c r="E129" s="62">
        <v>624.76409999999998</v>
      </c>
      <c r="F129" s="62">
        <v>698.90510860000006</v>
      </c>
      <c r="G129" s="62">
        <v>714.65167550000001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</row>
    <row r="130" spans="2:391" ht="14.5" x14ac:dyDescent="0.35">
      <c r="B130" s="61">
        <v>10</v>
      </c>
      <c r="C130" s="12" t="s">
        <v>272</v>
      </c>
      <c r="D130" s="12" t="s">
        <v>479</v>
      </c>
      <c r="E130" s="62">
        <v>0</v>
      </c>
      <c r="F130" s="62">
        <v>0</v>
      </c>
      <c r="G130" s="62">
        <v>0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</row>
    <row r="131" spans="2:391" ht="14.5" x14ac:dyDescent="0.35">
      <c r="B131" s="61"/>
      <c r="C131" s="12"/>
      <c r="D131" s="12" t="s">
        <v>111</v>
      </c>
      <c r="E131" s="62">
        <v>0</v>
      </c>
      <c r="F131" s="62">
        <v>0</v>
      </c>
      <c r="G131" s="62">
        <v>0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</row>
    <row r="132" spans="2:391" ht="14.5" x14ac:dyDescent="0.35">
      <c r="B132" s="61"/>
      <c r="C132" s="12"/>
      <c r="D132" s="12" t="s">
        <v>106</v>
      </c>
      <c r="E132" s="62">
        <v>42.360399999999998</v>
      </c>
      <c r="F132" s="62">
        <v>40.456949999999999</v>
      </c>
      <c r="G132" s="62">
        <v>39.657400000000003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</row>
    <row r="133" spans="2:391" ht="14.5" x14ac:dyDescent="0.35">
      <c r="B133" s="61"/>
      <c r="C133" s="12"/>
      <c r="D133" s="12" t="s">
        <v>108</v>
      </c>
      <c r="E133" s="62">
        <v>0</v>
      </c>
      <c r="F133" s="62">
        <v>0.73453000000000002</v>
      </c>
      <c r="G133" s="62">
        <v>0.70265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</row>
    <row r="134" spans="2:391" ht="14.5" x14ac:dyDescent="0.35">
      <c r="B134" s="61"/>
      <c r="C134" s="12"/>
      <c r="D134" s="12" t="s">
        <v>103</v>
      </c>
      <c r="E134" s="62">
        <v>0</v>
      </c>
      <c r="F134" s="62">
        <v>0</v>
      </c>
      <c r="G134" s="62">
        <v>0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</row>
    <row r="135" spans="2:391" ht="14.5" x14ac:dyDescent="0.35">
      <c r="B135" s="61"/>
      <c r="C135" s="12"/>
      <c r="D135" s="12" t="s">
        <v>104</v>
      </c>
      <c r="E135" s="62">
        <v>-9.6299999999999997E-2</v>
      </c>
      <c r="F135" s="62">
        <v>-7.1360000000000007E-2</v>
      </c>
      <c r="G135" s="62">
        <v>-6.9349999999999995E-2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</row>
    <row r="136" spans="2:391" ht="14.5" x14ac:dyDescent="0.35">
      <c r="B136" s="61"/>
      <c r="C136" s="12"/>
      <c r="D136" s="12" t="s">
        <v>477</v>
      </c>
      <c r="E136" s="62">
        <v>0</v>
      </c>
      <c r="F136" s="62">
        <v>0</v>
      </c>
      <c r="G136" s="62">
        <v>0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</row>
    <row r="137" spans="2:391" ht="14.5" x14ac:dyDescent="0.35">
      <c r="B137" s="61"/>
      <c r="C137" s="12"/>
      <c r="D137" s="12" t="s">
        <v>489</v>
      </c>
      <c r="E137" s="62">
        <v>0</v>
      </c>
      <c r="F137" s="62">
        <v>0</v>
      </c>
      <c r="G137" s="62">
        <v>0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</row>
    <row r="138" spans="2:391" ht="14.5" x14ac:dyDescent="0.35">
      <c r="B138" s="61"/>
      <c r="C138" s="12"/>
      <c r="D138" s="12" t="s">
        <v>171</v>
      </c>
      <c r="E138" s="62">
        <v>0</v>
      </c>
      <c r="F138" s="62">
        <v>0</v>
      </c>
      <c r="G138" s="62">
        <v>0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</row>
    <row r="139" spans="2:391" ht="14.5" x14ac:dyDescent="0.35">
      <c r="B139" s="61"/>
      <c r="C139" s="12"/>
      <c r="D139" s="12" t="s">
        <v>173</v>
      </c>
      <c r="E139" s="62">
        <v>-0.15</v>
      </c>
      <c r="F139" s="62">
        <v>0</v>
      </c>
      <c r="G139" s="62">
        <v>0.44500000000000001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</row>
    <row r="140" spans="2:391" ht="14.5" x14ac:dyDescent="0.35">
      <c r="B140" s="61"/>
      <c r="C140" s="12"/>
      <c r="D140" s="12" t="s">
        <v>174</v>
      </c>
      <c r="E140" s="62">
        <v>0</v>
      </c>
      <c r="F140" s="62">
        <v>0</v>
      </c>
      <c r="G140" s="62">
        <v>0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</row>
    <row r="141" spans="2:391" ht="14.5" x14ac:dyDescent="0.35">
      <c r="B141" s="61"/>
      <c r="C141" s="12"/>
      <c r="D141" s="12" t="s">
        <v>175</v>
      </c>
      <c r="E141" s="62">
        <v>0</v>
      </c>
      <c r="F141" s="62">
        <v>0</v>
      </c>
      <c r="G141" s="62">
        <v>0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</row>
    <row r="142" spans="2:391" ht="14.5" x14ac:dyDescent="0.35">
      <c r="B142" s="61"/>
      <c r="C142" s="12"/>
      <c r="D142" s="12" t="s">
        <v>176</v>
      </c>
      <c r="E142" s="62">
        <v>0</v>
      </c>
      <c r="F142" s="62">
        <v>0</v>
      </c>
      <c r="G142" s="62">
        <v>0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</row>
    <row r="143" spans="2:391" ht="14.5" x14ac:dyDescent="0.35">
      <c r="B143" s="61"/>
      <c r="C143" s="12"/>
      <c r="D143" s="12" t="s">
        <v>526</v>
      </c>
      <c r="E143" s="62"/>
      <c r="F143" s="62">
        <v>0</v>
      </c>
      <c r="G143" s="62">
        <v>0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</row>
    <row r="144" spans="2:391" ht="14.5" x14ac:dyDescent="0.35">
      <c r="B144" s="61"/>
      <c r="C144" s="12"/>
      <c r="D144" s="12" t="s">
        <v>478</v>
      </c>
      <c r="E144" s="62">
        <v>0</v>
      </c>
      <c r="F144" s="62">
        <v>0</v>
      </c>
      <c r="G144" s="62">
        <v>0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</row>
    <row r="145" spans="2:391" ht="14.5" x14ac:dyDescent="0.35">
      <c r="B145" s="61"/>
      <c r="C145" s="12"/>
      <c r="D145" s="12" t="s">
        <v>112</v>
      </c>
      <c r="E145" s="62">
        <v>0</v>
      </c>
      <c r="F145" s="62">
        <v>0</v>
      </c>
      <c r="G145" s="62">
        <v>0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</row>
    <row r="146" spans="2:391" ht="14.5" x14ac:dyDescent="0.35">
      <c r="B146" s="61"/>
      <c r="C146" s="12"/>
      <c r="D146" s="12" t="s">
        <v>113</v>
      </c>
      <c r="E146" s="62">
        <v>0</v>
      </c>
      <c r="F146" s="62">
        <v>0</v>
      </c>
      <c r="G146" s="62">
        <v>0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</row>
    <row r="147" spans="2:391" ht="14.5" x14ac:dyDescent="0.35">
      <c r="B147" s="61"/>
      <c r="C147" s="12"/>
      <c r="D147" s="12" t="s">
        <v>521</v>
      </c>
      <c r="E147" s="62"/>
      <c r="F147" s="62">
        <v>5.9400000000000001E-2</v>
      </c>
      <c r="G147" s="62">
        <v>0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</row>
    <row r="148" spans="2:391" ht="14.5" x14ac:dyDescent="0.35">
      <c r="B148" s="61"/>
      <c r="C148" s="12"/>
      <c r="D148" s="12" t="s">
        <v>109</v>
      </c>
      <c r="E148" s="62">
        <v>0</v>
      </c>
      <c r="F148" s="62">
        <v>1.03135</v>
      </c>
      <c r="G148" s="62">
        <v>1.0219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</row>
    <row r="149" spans="2:391" ht="14.5" x14ac:dyDescent="0.35">
      <c r="B149" s="61"/>
      <c r="C149" s="12"/>
      <c r="D149" s="12" t="s">
        <v>110</v>
      </c>
      <c r="E149" s="62">
        <v>0</v>
      </c>
      <c r="F149" s="62">
        <v>24.47026</v>
      </c>
      <c r="G149" s="62">
        <v>24.50657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</row>
    <row r="150" spans="2:391" ht="14.5" x14ac:dyDescent="0.35">
      <c r="B150" s="61"/>
      <c r="C150" s="12"/>
      <c r="D150" s="12" t="s">
        <v>101</v>
      </c>
      <c r="E150" s="62">
        <v>13.569000000000001</v>
      </c>
      <c r="F150" s="62">
        <v>13.569000000000001</v>
      </c>
      <c r="G150" s="62">
        <v>13.569000000000001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</row>
    <row r="151" spans="2:391" ht="14.5" x14ac:dyDescent="0.35">
      <c r="B151" s="61"/>
      <c r="C151" s="12"/>
      <c r="D151" s="12" t="s">
        <v>105</v>
      </c>
      <c r="E151" s="62">
        <v>469.58940000000001</v>
      </c>
      <c r="F151" s="62">
        <v>527.74727399999995</v>
      </c>
      <c r="G151" s="62">
        <v>533.23424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</row>
    <row r="152" spans="2:391" ht="14.5" x14ac:dyDescent="0.35">
      <c r="B152" s="61"/>
      <c r="C152" s="12"/>
      <c r="D152" s="12" t="s">
        <v>365</v>
      </c>
      <c r="E152" s="62">
        <v>18.453299999999999</v>
      </c>
      <c r="F152" s="62">
        <v>17.978960000000001</v>
      </c>
      <c r="G152" s="62">
        <v>19.325289999999999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</row>
    <row r="153" spans="2:391" ht="14.5" x14ac:dyDescent="0.35">
      <c r="B153" s="61"/>
      <c r="C153" s="12"/>
      <c r="D153" s="12" t="s">
        <v>167</v>
      </c>
      <c r="E153" s="62">
        <v>0</v>
      </c>
      <c r="F153" s="62">
        <v>15.202120000000001</v>
      </c>
      <c r="G153" s="62">
        <v>9.2014999999999993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</row>
    <row r="154" spans="2:391" ht="14.5" x14ac:dyDescent="0.35">
      <c r="B154" s="61"/>
      <c r="C154" s="12"/>
      <c r="D154" s="12" t="s">
        <v>368</v>
      </c>
      <c r="E154" s="62">
        <v>0.11550000000000001</v>
      </c>
      <c r="F154" s="62">
        <v>0.54862500000000003</v>
      </c>
      <c r="G154" s="62">
        <v>2.3519999999999999E-2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</row>
    <row r="155" spans="2:391" ht="14.5" x14ac:dyDescent="0.35">
      <c r="B155" s="61"/>
      <c r="C155" s="12"/>
      <c r="D155" s="12" t="s">
        <v>59</v>
      </c>
      <c r="E155" s="62">
        <v>3.3399999999999999E-2</v>
      </c>
      <c r="F155" s="62">
        <v>15.419333200000001</v>
      </c>
      <c r="G155" s="62">
        <v>5.7930459999999995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</row>
    <row r="156" spans="2:391" ht="14.5" x14ac:dyDescent="0.35">
      <c r="B156" s="61"/>
      <c r="C156" s="12"/>
      <c r="D156" s="12" t="s">
        <v>524</v>
      </c>
      <c r="E156" s="62"/>
      <c r="F156" s="62">
        <v>0</v>
      </c>
      <c r="G156" s="62">
        <v>0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</row>
    <row r="157" spans="2:391" ht="14.5" x14ac:dyDescent="0.35">
      <c r="B157" s="61"/>
      <c r="C157" s="12"/>
      <c r="D157" s="12" t="s">
        <v>107</v>
      </c>
      <c r="E157" s="62">
        <v>0</v>
      </c>
      <c r="F157" s="62">
        <v>0</v>
      </c>
      <c r="G157" s="62">
        <v>0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</row>
    <row r="158" spans="2:391" ht="14.5" x14ac:dyDescent="0.35">
      <c r="B158" s="61"/>
      <c r="C158" s="12"/>
      <c r="D158" s="12" t="s">
        <v>623</v>
      </c>
      <c r="E158" s="62">
        <v>10.3673</v>
      </c>
      <c r="F158" s="62">
        <v>10.367309678000002</v>
      </c>
      <c r="G158" s="62">
        <v>10.367309678000002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</row>
    <row r="159" spans="2:391" ht="14.5" x14ac:dyDescent="0.35">
      <c r="B159" s="61" t="s">
        <v>549</v>
      </c>
      <c r="C159" s="61"/>
      <c r="D159" s="61"/>
      <c r="E159" s="62">
        <v>554.24200000000008</v>
      </c>
      <c r="F159" s="62">
        <v>667.51375187799999</v>
      </c>
      <c r="G159" s="62">
        <v>657.77807567799994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</row>
    <row r="160" spans="2:391" ht="14.5" x14ac:dyDescent="0.35">
      <c r="B160" s="61">
        <v>11</v>
      </c>
      <c r="C160" s="12" t="s">
        <v>278</v>
      </c>
      <c r="D160" s="12" t="s">
        <v>119</v>
      </c>
      <c r="E160" s="62">
        <v>82.0261</v>
      </c>
      <c r="F160" s="62">
        <v>89.452299999999994</v>
      </c>
      <c r="G160" s="62">
        <v>89.903170000000003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</row>
    <row r="161" spans="2:391" ht="14.5" x14ac:dyDescent="0.35">
      <c r="B161" s="61"/>
      <c r="C161" s="12"/>
      <c r="D161" s="12" t="s">
        <v>120</v>
      </c>
      <c r="E161" s="62">
        <v>0</v>
      </c>
      <c r="F161" s="62">
        <v>14.215719999999999</v>
      </c>
      <c r="G161" s="62">
        <v>6.0173500000000004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</row>
    <row r="162" spans="2:391" ht="14.5" x14ac:dyDescent="0.35">
      <c r="B162" s="61"/>
      <c r="C162" s="12"/>
      <c r="D162" s="12" t="s">
        <v>116</v>
      </c>
      <c r="E162" s="62">
        <v>0.1358</v>
      </c>
      <c r="F162" s="62">
        <v>2.9853599999999996</v>
      </c>
      <c r="G162" s="62">
        <v>1.5123005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</row>
    <row r="163" spans="2:391" ht="14.5" x14ac:dyDescent="0.35">
      <c r="B163" s="61"/>
      <c r="C163" s="12"/>
      <c r="D163" s="12" t="s">
        <v>117</v>
      </c>
      <c r="E163" s="62">
        <v>0</v>
      </c>
      <c r="F163" s="62">
        <v>3.1851729999999998</v>
      </c>
      <c r="G163" s="62">
        <v>0.96750999999999998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</row>
    <row r="164" spans="2:391" ht="14.5" x14ac:dyDescent="0.35">
      <c r="B164" s="61"/>
      <c r="C164" s="12"/>
      <c r="D164" s="12" t="s">
        <v>118</v>
      </c>
      <c r="E164" s="62">
        <v>6.7862999999999998</v>
      </c>
      <c r="F164" s="62">
        <v>12.13424</v>
      </c>
      <c r="G164" s="62">
        <v>10.39485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</row>
    <row r="165" spans="2:391" ht="14.5" x14ac:dyDescent="0.35">
      <c r="B165" s="61"/>
      <c r="C165" s="12"/>
      <c r="D165" s="12" t="s">
        <v>620</v>
      </c>
      <c r="E165" s="62">
        <v>-6.6050000000000004</v>
      </c>
      <c r="F165" s="62">
        <v>-6.8252128079999999</v>
      </c>
      <c r="G165" s="62">
        <v>-6.8252128079999999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</row>
    <row r="166" spans="2:391" ht="14.5" x14ac:dyDescent="0.35">
      <c r="B166" s="61"/>
      <c r="C166" s="12"/>
      <c r="D166" s="12" t="s">
        <v>622</v>
      </c>
      <c r="E166" s="62">
        <v>-0.2041</v>
      </c>
      <c r="F166" s="62">
        <v>-0.21095096999999999</v>
      </c>
      <c r="G166" s="62">
        <v>0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</row>
    <row r="167" spans="2:391" ht="14.5" x14ac:dyDescent="0.35">
      <c r="B167" s="61"/>
      <c r="C167" s="12"/>
      <c r="D167" s="12" t="s">
        <v>619</v>
      </c>
      <c r="E167" s="62">
        <v>6.6050000000000004</v>
      </c>
      <c r="F167" s="62">
        <v>6.8252128079999999</v>
      </c>
      <c r="G167" s="62">
        <v>6.8252128079999999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</row>
    <row r="168" spans="2:391" ht="14.5" x14ac:dyDescent="0.35">
      <c r="B168" s="61"/>
      <c r="C168" s="12"/>
      <c r="D168" s="12" t="s">
        <v>621</v>
      </c>
      <c r="E168" s="62">
        <v>0.2041</v>
      </c>
      <c r="F168" s="62">
        <v>0.21095096999999999</v>
      </c>
      <c r="G168" s="62">
        <v>0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</row>
    <row r="169" spans="2:391" ht="14.5" x14ac:dyDescent="0.35">
      <c r="B169" s="61" t="s">
        <v>550</v>
      </c>
      <c r="C169" s="61"/>
      <c r="D169" s="61"/>
      <c r="E169" s="62">
        <v>88.9482</v>
      </c>
      <c r="F169" s="62">
        <v>121.97279300000001</v>
      </c>
      <c r="G169" s="62">
        <v>108.79518050000001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</row>
    <row r="170" spans="2:391" ht="14.5" x14ac:dyDescent="0.35">
      <c r="B170" s="61">
        <v>12</v>
      </c>
      <c r="C170" s="12" t="s">
        <v>289</v>
      </c>
      <c r="D170" s="12" t="s">
        <v>376</v>
      </c>
      <c r="E170" s="62">
        <v>9.35E-2</v>
      </c>
      <c r="F170" s="62">
        <v>0.11287</v>
      </c>
      <c r="G170" s="62">
        <v>0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</row>
    <row r="171" spans="2:391" ht="14.5" x14ac:dyDescent="0.35">
      <c r="B171" s="61"/>
      <c r="C171" s="12"/>
      <c r="D171" s="12" t="s">
        <v>136</v>
      </c>
      <c r="E171" s="62">
        <v>46.533499999999997</v>
      </c>
      <c r="F171" s="62">
        <v>97.182698799999997</v>
      </c>
      <c r="G171" s="62">
        <v>82.338257399999989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</row>
    <row r="172" spans="2:391" ht="14.5" x14ac:dyDescent="0.35">
      <c r="B172" s="61"/>
      <c r="C172" s="12"/>
      <c r="D172" s="12" t="s">
        <v>163</v>
      </c>
      <c r="E172" s="62"/>
      <c r="F172" s="62">
        <v>8.5250000000000006E-2</v>
      </c>
      <c r="G172" s="62">
        <v>0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</row>
    <row r="173" spans="2:391" ht="14.5" x14ac:dyDescent="0.35">
      <c r="B173" s="61"/>
      <c r="C173" s="12"/>
      <c r="D173" s="12" t="s">
        <v>517</v>
      </c>
      <c r="E173" s="62"/>
      <c r="F173" s="62">
        <v>0</v>
      </c>
      <c r="G173" s="62">
        <v>0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</row>
    <row r="174" spans="2:391" ht="14.5" x14ac:dyDescent="0.35">
      <c r="B174" s="61"/>
      <c r="C174" s="12"/>
      <c r="D174" s="12" t="s">
        <v>132</v>
      </c>
      <c r="E174" s="62">
        <v>4.8353000000000002</v>
      </c>
      <c r="F174" s="62">
        <v>2.4028396000000001</v>
      </c>
      <c r="G174" s="62">
        <v>4.7962981999999998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</row>
    <row r="175" spans="2:391" ht="14.5" x14ac:dyDescent="0.35">
      <c r="B175" s="61"/>
      <c r="C175" s="12"/>
      <c r="D175" s="12" t="s">
        <v>516</v>
      </c>
      <c r="E175" s="62"/>
      <c r="F175" s="62">
        <v>0</v>
      </c>
      <c r="G175" s="62">
        <v>0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</row>
    <row r="176" spans="2:391" ht="14.5" x14ac:dyDescent="0.35">
      <c r="B176" s="61"/>
      <c r="C176" s="12"/>
      <c r="D176" s="12" t="s">
        <v>374</v>
      </c>
      <c r="E176" s="62">
        <v>0.89680000000000004</v>
      </c>
      <c r="F176" s="62">
        <v>2.1339299999999999</v>
      </c>
      <c r="G176" s="62">
        <v>0.30371999999999999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</row>
    <row r="177" spans="2:391" ht="14.5" x14ac:dyDescent="0.35">
      <c r="B177" s="61"/>
      <c r="C177" s="12"/>
      <c r="D177" s="12" t="s">
        <v>412</v>
      </c>
      <c r="E177" s="62">
        <v>0</v>
      </c>
      <c r="F177" s="62">
        <v>0</v>
      </c>
      <c r="G177" s="62">
        <v>0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</row>
    <row r="178" spans="2:391" ht="14.5" x14ac:dyDescent="0.35">
      <c r="B178" s="61"/>
      <c r="C178" s="12"/>
      <c r="D178" s="12" t="s">
        <v>140</v>
      </c>
      <c r="E178" s="62">
        <v>0</v>
      </c>
      <c r="F178" s="62">
        <v>0.84858999999999996</v>
      </c>
      <c r="G178" s="62">
        <v>0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</row>
    <row r="179" spans="2:391" ht="14.5" x14ac:dyDescent="0.35">
      <c r="B179" s="61"/>
      <c r="C179" s="12"/>
      <c r="D179" s="12" t="s">
        <v>141</v>
      </c>
      <c r="E179" s="62">
        <v>1.1906000000000001</v>
      </c>
      <c r="F179" s="62">
        <v>0.93063940000000001</v>
      </c>
      <c r="G179" s="62">
        <v>0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</row>
    <row r="180" spans="2:391" ht="14.5" x14ac:dyDescent="0.35">
      <c r="B180" s="61"/>
      <c r="C180" s="12"/>
      <c r="D180" s="12" t="s">
        <v>142</v>
      </c>
      <c r="E180" s="62">
        <v>0</v>
      </c>
      <c r="F180" s="62">
        <v>0</v>
      </c>
      <c r="G180" s="62">
        <v>0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</row>
    <row r="181" spans="2:391" ht="14.5" x14ac:dyDescent="0.35">
      <c r="B181" s="61"/>
      <c r="C181" s="12"/>
      <c r="D181" s="12" t="s">
        <v>143</v>
      </c>
      <c r="E181" s="62">
        <v>0.26079999999999998</v>
      </c>
      <c r="F181" s="62">
        <v>1.0441414</v>
      </c>
      <c r="G181" s="62">
        <v>0.15153220000000001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</row>
    <row r="182" spans="2:391" ht="14.5" x14ac:dyDescent="0.35">
      <c r="B182" s="61"/>
      <c r="C182" s="12"/>
      <c r="D182" s="12" t="s">
        <v>144</v>
      </c>
      <c r="E182" s="62">
        <v>0.92249999999999999</v>
      </c>
      <c r="F182" s="62">
        <v>33.214362199999997</v>
      </c>
      <c r="G182" s="62">
        <v>3.4092160999999996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</row>
    <row r="183" spans="2:391" ht="14.5" x14ac:dyDescent="0.35">
      <c r="B183" s="61"/>
      <c r="C183" s="12"/>
      <c r="D183" s="12" t="s">
        <v>145</v>
      </c>
      <c r="E183" s="62">
        <v>0</v>
      </c>
      <c r="F183" s="62">
        <v>0</v>
      </c>
      <c r="G183" s="62">
        <v>0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</row>
    <row r="184" spans="2:391" ht="14.5" x14ac:dyDescent="0.35">
      <c r="B184" s="61"/>
      <c r="C184" s="12"/>
      <c r="D184" s="12" t="s">
        <v>133</v>
      </c>
      <c r="E184" s="62">
        <v>0</v>
      </c>
      <c r="F184" s="62">
        <v>0.1305924</v>
      </c>
      <c r="G184" s="62">
        <v>0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</row>
    <row r="185" spans="2:391" ht="14.5" x14ac:dyDescent="0.35">
      <c r="B185" s="61"/>
      <c r="C185" s="12"/>
      <c r="D185" s="12" t="s">
        <v>134</v>
      </c>
      <c r="E185" s="62">
        <v>0.57150000000000001</v>
      </c>
      <c r="F185" s="62">
        <v>0.63959999999999995</v>
      </c>
      <c r="G185" s="62">
        <v>0.73299999999999998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</row>
    <row r="186" spans="2:391" ht="14.5" x14ac:dyDescent="0.35">
      <c r="B186" s="61"/>
      <c r="C186" s="12"/>
      <c r="D186" s="12" t="s">
        <v>135</v>
      </c>
      <c r="E186" s="62">
        <v>1.2927999999999999</v>
      </c>
      <c r="F186" s="62">
        <v>1.4047499999999999</v>
      </c>
      <c r="G186" s="62">
        <v>1.46075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</row>
    <row r="187" spans="2:391" ht="14.5" x14ac:dyDescent="0.35">
      <c r="B187" s="61"/>
      <c r="C187" s="12"/>
      <c r="D187" s="12" t="s">
        <v>138</v>
      </c>
      <c r="E187" s="62">
        <v>6.1463000000000001</v>
      </c>
      <c r="F187" s="62">
        <v>26.913311700000001</v>
      </c>
      <c r="G187" s="62">
        <v>8.5000243999999991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</row>
    <row r="188" spans="2:391" ht="14.5" x14ac:dyDescent="0.35">
      <c r="B188" s="61"/>
      <c r="C188" s="12"/>
      <c r="D188" s="12" t="s">
        <v>137</v>
      </c>
      <c r="E188" s="62">
        <v>1.9308000000000001</v>
      </c>
      <c r="F188" s="62">
        <v>6.8108098000000004</v>
      </c>
      <c r="G188" s="62">
        <v>3.2926449999999998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</row>
    <row r="189" spans="2:391" ht="14.5" x14ac:dyDescent="0.35">
      <c r="B189" s="61"/>
      <c r="C189" s="12"/>
      <c r="D189" s="12" t="s">
        <v>139</v>
      </c>
      <c r="E189" s="62">
        <v>0.30109999999999998</v>
      </c>
      <c r="F189" s="62">
        <v>0.1212</v>
      </c>
      <c r="G189" s="62">
        <v>0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</row>
    <row r="190" spans="2:391" ht="14.5" x14ac:dyDescent="0.35">
      <c r="B190" s="61"/>
      <c r="C190" s="12"/>
      <c r="D190" s="12" t="s">
        <v>375</v>
      </c>
      <c r="E190" s="62">
        <v>6.5468000000000002</v>
      </c>
      <c r="F190" s="62">
        <v>5.3245399999999998</v>
      </c>
      <c r="G190" s="62">
        <v>6.7804000000000002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</row>
    <row r="191" spans="2:391" ht="14.5" x14ac:dyDescent="0.35">
      <c r="B191" s="61"/>
      <c r="C191" s="12"/>
      <c r="D191" s="12" t="s">
        <v>533</v>
      </c>
      <c r="E191" s="62"/>
      <c r="F191" s="62">
        <v>0</v>
      </c>
      <c r="G191" s="62">
        <v>0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</row>
    <row r="192" spans="2:391" ht="14.5" x14ac:dyDescent="0.35">
      <c r="B192" s="61"/>
      <c r="C192" s="12"/>
      <c r="D192" s="12" t="s">
        <v>146</v>
      </c>
      <c r="E192" s="62">
        <v>0.34839999999999999</v>
      </c>
      <c r="F192" s="62">
        <v>6.9209038999999999</v>
      </c>
      <c r="G192" s="62">
        <v>2.4483085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</row>
    <row r="193" spans="2:391" ht="14.5" x14ac:dyDescent="0.35">
      <c r="B193" s="61"/>
      <c r="C193" s="12"/>
      <c r="D193" s="12" t="s">
        <v>38</v>
      </c>
      <c r="E193" s="62">
        <v>2.3E-2</v>
      </c>
      <c r="F193" s="62">
        <v>0.17560000000000001</v>
      </c>
      <c r="G193" s="62">
        <v>0.12790000000000001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</row>
    <row r="194" spans="2:391" ht="14.5" x14ac:dyDescent="0.35">
      <c r="B194" s="61"/>
      <c r="C194" s="12"/>
      <c r="D194" s="12" t="s">
        <v>638</v>
      </c>
      <c r="E194" s="62"/>
      <c r="F194" s="62"/>
      <c r="G194" s="62">
        <v>0.16520000000000001</v>
      </c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</row>
    <row r="195" spans="2:391" ht="14.5" x14ac:dyDescent="0.35">
      <c r="B195" s="61" t="s">
        <v>551</v>
      </c>
      <c r="C195" s="61"/>
      <c r="D195" s="61"/>
      <c r="E195" s="62">
        <v>71.89370000000001</v>
      </c>
      <c r="F195" s="62">
        <v>186.39662920000004</v>
      </c>
      <c r="G195" s="62">
        <v>114.50725179999998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</row>
    <row r="196" spans="2:391" ht="14.5" x14ac:dyDescent="0.35">
      <c r="B196" s="61">
        <v>13</v>
      </c>
      <c r="C196" s="12" t="s">
        <v>311</v>
      </c>
      <c r="D196" s="12" t="s">
        <v>29</v>
      </c>
      <c r="E196" s="62">
        <v>0</v>
      </c>
      <c r="F196" s="62">
        <v>3.1614916000000002</v>
      </c>
      <c r="G196" s="62">
        <v>0.56000000000000005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</row>
    <row r="197" spans="2:391" ht="14.5" x14ac:dyDescent="0.35">
      <c r="B197" s="61"/>
      <c r="C197" s="12"/>
      <c r="D197" s="12" t="s">
        <v>188</v>
      </c>
      <c r="E197" s="62">
        <v>0.8</v>
      </c>
      <c r="F197" s="62">
        <v>2.1696E-2</v>
      </c>
      <c r="G197" s="62">
        <v>0.4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</row>
    <row r="198" spans="2:391" ht="14.5" x14ac:dyDescent="0.35">
      <c r="B198" s="61"/>
      <c r="C198" s="12"/>
      <c r="D198" s="12" t="s">
        <v>172</v>
      </c>
      <c r="E198" s="62">
        <v>0</v>
      </c>
      <c r="F198" s="62">
        <v>0</v>
      </c>
      <c r="G198" s="62">
        <v>0</v>
      </c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</row>
    <row r="199" spans="2:391" ht="14.5" x14ac:dyDescent="0.35">
      <c r="B199" s="61"/>
      <c r="C199" s="12"/>
      <c r="D199" s="12" t="s">
        <v>192</v>
      </c>
      <c r="E199" s="62">
        <v>78.355999999999995</v>
      </c>
      <c r="F199" s="62">
        <v>42.339712199999994</v>
      </c>
      <c r="G199" s="62">
        <v>17.509309300000002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</row>
    <row r="200" spans="2:391" ht="14.5" x14ac:dyDescent="0.35">
      <c r="B200" s="61"/>
      <c r="C200" s="12"/>
      <c r="D200" s="12" t="s">
        <v>33</v>
      </c>
      <c r="E200" s="62">
        <v>0</v>
      </c>
      <c r="F200" s="62">
        <v>8.8968100000000003</v>
      </c>
      <c r="G200" s="62">
        <v>53</v>
      </c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</row>
    <row r="201" spans="2:391" ht="14.5" x14ac:dyDescent="0.35">
      <c r="B201" s="61"/>
      <c r="C201" s="12"/>
      <c r="D201" s="12" t="s">
        <v>472</v>
      </c>
      <c r="E201" s="62">
        <v>0</v>
      </c>
      <c r="F201" s="62">
        <v>0</v>
      </c>
      <c r="G201" s="62">
        <v>0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</row>
    <row r="202" spans="2:391" ht="14.5" x14ac:dyDescent="0.35">
      <c r="B202" s="61"/>
      <c r="C202" s="12"/>
      <c r="D202" s="12" t="s">
        <v>194</v>
      </c>
      <c r="E202" s="62">
        <v>0.62139999999999995</v>
      </c>
      <c r="F202" s="62">
        <v>9.0774886000000006</v>
      </c>
      <c r="G202" s="62">
        <v>0.53303999999999996</v>
      </c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</row>
    <row r="203" spans="2:391" ht="14.5" x14ac:dyDescent="0.35">
      <c r="B203" s="61"/>
      <c r="C203" s="12"/>
      <c r="D203" s="12" t="s">
        <v>190</v>
      </c>
      <c r="E203" s="62">
        <v>0</v>
      </c>
      <c r="F203" s="62">
        <v>0</v>
      </c>
      <c r="G203" s="62">
        <v>0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</row>
    <row r="204" spans="2:391" ht="14.5" x14ac:dyDescent="0.35">
      <c r="B204" s="61" t="s">
        <v>552</v>
      </c>
      <c r="C204" s="61"/>
      <c r="D204" s="61"/>
      <c r="E204" s="62">
        <v>79.777399999999986</v>
      </c>
      <c r="F204" s="62">
        <v>63.497198399999995</v>
      </c>
      <c r="G204" s="62">
        <v>72.002349300000006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</row>
    <row r="205" spans="2:391" ht="14.5" x14ac:dyDescent="0.35">
      <c r="B205" s="61">
        <v>14</v>
      </c>
      <c r="C205" s="12" t="s">
        <v>206</v>
      </c>
      <c r="D205" s="12" t="s">
        <v>128</v>
      </c>
      <c r="E205" s="62">
        <v>16.7804</v>
      </c>
      <c r="F205" s="62">
        <v>22.105910000000002</v>
      </c>
      <c r="G205" s="62">
        <v>24.095230000000001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</row>
    <row r="206" spans="2:391" ht="14.5" x14ac:dyDescent="0.35">
      <c r="B206" s="61" t="s">
        <v>553</v>
      </c>
      <c r="C206" s="61"/>
      <c r="D206" s="61"/>
      <c r="E206" s="62">
        <v>16.7804</v>
      </c>
      <c r="F206" s="62">
        <v>22.105910000000002</v>
      </c>
      <c r="G206" s="62">
        <v>24.095230000000001</v>
      </c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</row>
    <row r="207" spans="2:391" ht="14.5" x14ac:dyDescent="0.35">
      <c r="B207" s="61">
        <v>15</v>
      </c>
      <c r="C207" s="12" t="s">
        <v>288</v>
      </c>
      <c r="D207" s="12" t="s">
        <v>129</v>
      </c>
      <c r="E207" s="62">
        <v>1.0172000000000001</v>
      </c>
      <c r="F207" s="62">
        <v>1.1399999999999999</v>
      </c>
      <c r="G207" s="62">
        <v>0.87953000000000003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</row>
    <row r="208" spans="2:391" ht="14.5" x14ac:dyDescent="0.35">
      <c r="B208" s="61"/>
      <c r="C208" s="12"/>
      <c r="D208" s="12" t="s">
        <v>130</v>
      </c>
      <c r="E208" s="62">
        <v>1.5279</v>
      </c>
      <c r="F208" s="62">
        <v>6.7069879999999999</v>
      </c>
      <c r="G208" s="62">
        <v>1.8248599999999999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</row>
    <row r="209" spans="2:391" ht="14.5" x14ac:dyDescent="0.35">
      <c r="B209" s="61"/>
      <c r="C209" s="12"/>
      <c r="D209" s="12" t="s">
        <v>41</v>
      </c>
      <c r="E209" s="62">
        <v>0</v>
      </c>
      <c r="F209" s="62">
        <v>0</v>
      </c>
      <c r="G209" s="62">
        <v>0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</row>
    <row r="210" spans="2:391" ht="14.5" x14ac:dyDescent="0.35">
      <c r="B210" s="61"/>
      <c r="C210" s="12"/>
      <c r="D210" s="12" t="s">
        <v>410</v>
      </c>
      <c r="E210" s="62">
        <v>0</v>
      </c>
      <c r="F210" s="62">
        <v>0</v>
      </c>
      <c r="G210" s="62">
        <v>0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</row>
    <row r="211" spans="2:391" ht="14.5" x14ac:dyDescent="0.35">
      <c r="B211" s="61"/>
      <c r="C211" s="12"/>
      <c r="D211" s="12" t="s">
        <v>131</v>
      </c>
      <c r="E211" s="62">
        <v>11.131300000000001</v>
      </c>
      <c r="F211" s="62">
        <v>13.115202399999999</v>
      </c>
      <c r="G211" s="62">
        <v>8.3669168000000003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</row>
    <row r="212" spans="2:391" ht="14.5" x14ac:dyDescent="0.35">
      <c r="B212" s="61"/>
      <c r="C212" s="12"/>
      <c r="D212" s="12" t="s">
        <v>366</v>
      </c>
      <c r="E212" s="62">
        <v>0.97</v>
      </c>
      <c r="F212" s="62">
        <v>1.3589</v>
      </c>
      <c r="G212" s="62">
        <v>2.5005999999999999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</row>
    <row r="213" spans="2:391" ht="14.5" x14ac:dyDescent="0.35">
      <c r="B213" s="61"/>
      <c r="C213" s="12"/>
      <c r="D213" s="12" t="s">
        <v>367</v>
      </c>
      <c r="E213" s="62">
        <v>0</v>
      </c>
      <c r="F213" s="62">
        <v>8.3019999999999997E-2</v>
      </c>
      <c r="G213" s="62">
        <v>0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</row>
    <row r="214" spans="2:391" ht="14.5" x14ac:dyDescent="0.35">
      <c r="B214" s="61"/>
      <c r="C214" s="12"/>
      <c r="D214" s="12" t="s">
        <v>618</v>
      </c>
      <c r="E214" s="62">
        <v>-1.3782000000000001</v>
      </c>
      <c r="F214" s="62">
        <v>-1.5740964</v>
      </c>
      <c r="G214" s="62">
        <v>-1.5740964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</row>
    <row r="215" spans="2:391" ht="14.5" x14ac:dyDescent="0.35">
      <c r="B215" s="61"/>
      <c r="C215" s="12"/>
      <c r="D215" s="12" t="s">
        <v>616</v>
      </c>
      <c r="E215" s="62">
        <v>9.0347000000000008</v>
      </c>
      <c r="F215" s="62">
        <v>10.3190764</v>
      </c>
      <c r="G215" s="62">
        <v>10.3190764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</row>
    <row r="216" spans="2:391" ht="14.5" x14ac:dyDescent="0.35">
      <c r="B216" s="61" t="s">
        <v>554</v>
      </c>
      <c r="C216" s="61"/>
      <c r="D216" s="61"/>
      <c r="E216" s="62">
        <v>22.302900000000001</v>
      </c>
      <c r="F216" s="62">
        <v>31.149090399999999</v>
      </c>
      <c r="G216" s="62">
        <v>22.316886799999999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</row>
    <row r="217" spans="2:391" ht="14.5" x14ac:dyDescent="0.35">
      <c r="B217" s="61">
        <v>16</v>
      </c>
      <c r="C217" s="12" t="s">
        <v>534</v>
      </c>
      <c r="D217" s="12" t="s">
        <v>125</v>
      </c>
      <c r="E217" s="62">
        <v>60.213000000000001</v>
      </c>
      <c r="F217" s="62">
        <v>154.12377709999998</v>
      </c>
      <c r="G217" s="62">
        <v>71.724397100000004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</row>
    <row r="218" spans="2:391" ht="14.5" x14ac:dyDescent="0.35">
      <c r="B218" s="61"/>
      <c r="C218" s="12"/>
      <c r="D218" s="12" t="s">
        <v>370</v>
      </c>
      <c r="E218" s="62">
        <v>0.15509999999999999</v>
      </c>
      <c r="F218" s="62">
        <v>0.17293</v>
      </c>
      <c r="G218" s="62">
        <v>0.15253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</row>
    <row r="219" spans="2:391" ht="14.5" x14ac:dyDescent="0.35">
      <c r="B219" s="61"/>
      <c r="C219" s="12"/>
      <c r="D219" s="12" t="s">
        <v>126</v>
      </c>
      <c r="E219" s="62">
        <v>3.8439999999999999</v>
      </c>
      <c r="F219" s="62">
        <v>18.433528199999998</v>
      </c>
      <c r="G219" s="62">
        <v>10.29941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</row>
    <row r="220" spans="2:391" ht="14.5" x14ac:dyDescent="0.35">
      <c r="B220" s="61"/>
      <c r="C220" s="12"/>
      <c r="D220" s="12" t="s">
        <v>371</v>
      </c>
      <c r="E220" s="62">
        <v>1.4117999999999999</v>
      </c>
      <c r="F220" s="62">
        <v>1.7787212999999999</v>
      </c>
      <c r="G220" s="62">
        <v>2.1681933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</row>
    <row r="221" spans="2:391" ht="14.5" x14ac:dyDescent="0.35">
      <c r="B221" s="61"/>
      <c r="C221" s="12"/>
      <c r="D221" s="12" t="s">
        <v>127</v>
      </c>
      <c r="E221" s="62">
        <v>0.43</v>
      </c>
      <c r="F221" s="62">
        <v>9.0741642000000002</v>
      </c>
      <c r="G221" s="62">
        <v>4.9215399999999994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</row>
    <row r="222" spans="2:391" ht="14.5" x14ac:dyDescent="0.35">
      <c r="B222" s="61" t="s">
        <v>555</v>
      </c>
      <c r="C222" s="61"/>
      <c r="D222" s="61"/>
      <c r="E222" s="62">
        <v>66.053899999999999</v>
      </c>
      <c r="F222" s="62">
        <v>183.58312080000002</v>
      </c>
      <c r="G222" s="62">
        <v>89.26607039999999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</row>
    <row r="223" spans="2:391" ht="14.5" x14ac:dyDescent="0.35">
      <c r="B223" s="61">
        <v>17</v>
      </c>
      <c r="C223" s="12" t="s">
        <v>535</v>
      </c>
      <c r="D223" s="12" t="s">
        <v>34</v>
      </c>
      <c r="E223" s="62">
        <v>20.78</v>
      </c>
      <c r="F223" s="62">
        <v>23.260441</v>
      </c>
      <c r="G223" s="62">
        <v>24.069590000000002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</row>
    <row r="224" spans="2:391" ht="14.5" x14ac:dyDescent="0.35">
      <c r="B224" s="61" t="s">
        <v>556</v>
      </c>
      <c r="C224" s="61"/>
      <c r="D224" s="61"/>
      <c r="E224" s="62">
        <v>20.78</v>
      </c>
      <c r="F224" s="62">
        <v>23.260441</v>
      </c>
      <c r="G224" s="62">
        <v>24.069590000000002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</row>
    <row r="225" spans="2:391" ht="14.5" x14ac:dyDescent="0.35">
      <c r="B225" s="61">
        <v>18</v>
      </c>
      <c r="C225" s="12" t="s">
        <v>28</v>
      </c>
      <c r="D225" s="12" t="s">
        <v>28</v>
      </c>
      <c r="E225" s="62">
        <v>11.4132</v>
      </c>
      <c r="F225" s="62">
        <v>19.442131099999997</v>
      </c>
      <c r="G225" s="62">
        <v>18.9194329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</row>
    <row r="226" spans="2:391" ht="14.5" x14ac:dyDescent="0.35">
      <c r="B226" s="61" t="s">
        <v>557</v>
      </c>
      <c r="C226" s="61"/>
      <c r="D226" s="61"/>
      <c r="E226" s="62">
        <v>11.4132</v>
      </c>
      <c r="F226" s="62">
        <v>19.442131099999997</v>
      </c>
      <c r="G226" s="62">
        <v>18.9194329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</row>
    <row r="227" spans="2:391" ht="14.5" x14ac:dyDescent="0.35">
      <c r="B227" s="61">
        <v>19</v>
      </c>
      <c r="C227" s="12" t="s">
        <v>207</v>
      </c>
      <c r="D227" s="12" t="s">
        <v>147</v>
      </c>
      <c r="E227" s="62">
        <v>0</v>
      </c>
      <c r="F227" s="62">
        <v>0</v>
      </c>
      <c r="G227" s="62">
        <v>0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</row>
    <row r="228" spans="2:391" ht="14.5" x14ac:dyDescent="0.35">
      <c r="B228" s="61"/>
      <c r="C228" s="12"/>
      <c r="D228" s="12" t="s">
        <v>148</v>
      </c>
      <c r="E228" s="62">
        <v>2.0000000000000001E-4</v>
      </c>
      <c r="F228" s="62">
        <v>0</v>
      </c>
      <c r="G228" s="62">
        <v>0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</row>
    <row r="229" spans="2:391" ht="14.5" x14ac:dyDescent="0.35">
      <c r="B229" s="61"/>
      <c r="C229" s="12"/>
      <c r="D229" s="12" t="s">
        <v>149</v>
      </c>
      <c r="E229" s="62">
        <v>2.1886000000000001</v>
      </c>
      <c r="F229" s="62">
        <v>3.0442288</v>
      </c>
      <c r="G229" s="62">
        <v>2.9009092000000001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</row>
    <row r="230" spans="2:391" ht="14.5" x14ac:dyDescent="0.35">
      <c r="B230" s="61"/>
      <c r="C230" s="12"/>
      <c r="D230" s="12" t="s">
        <v>150</v>
      </c>
      <c r="E230" s="62">
        <v>9.1300000000000006E-2</v>
      </c>
      <c r="F230" s="62">
        <v>0.15198219999999998</v>
      </c>
      <c r="G230" s="62">
        <v>0.13077659999999999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</row>
    <row r="231" spans="2:391" ht="14.5" x14ac:dyDescent="0.35">
      <c r="B231" s="61" t="s">
        <v>558</v>
      </c>
      <c r="C231" s="61"/>
      <c r="D231" s="61"/>
      <c r="E231" s="62">
        <v>2.2801</v>
      </c>
      <c r="F231" s="62">
        <v>3.1962109999999999</v>
      </c>
      <c r="G231" s="62">
        <v>3.0316858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</row>
    <row r="232" spans="2:391" ht="14.5" x14ac:dyDescent="0.35">
      <c r="B232" s="61">
        <v>20</v>
      </c>
      <c r="C232" s="12" t="s">
        <v>301</v>
      </c>
      <c r="D232" s="12" t="s">
        <v>481</v>
      </c>
      <c r="E232" s="62">
        <v>0</v>
      </c>
      <c r="F232" s="62">
        <v>7.8753700000000002</v>
      </c>
      <c r="G232" s="62">
        <v>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</row>
    <row r="233" spans="2:391" ht="14.5" x14ac:dyDescent="0.35">
      <c r="B233" s="61"/>
      <c r="C233" s="12"/>
      <c r="D233" s="12" t="s">
        <v>151</v>
      </c>
      <c r="E233" s="62">
        <v>6.1000000000000004E-3</v>
      </c>
      <c r="F233" s="62">
        <v>0</v>
      </c>
      <c r="G233" s="62">
        <v>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</row>
    <row r="234" spans="2:391" ht="14.5" x14ac:dyDescent="0.35">
      <c r="B234" s="61"/>
      <c r="C234" s="12"/>
      <c r="D234" s="12" t="s">
        <v>530</v>
      </c>
      <c r="E234" s="62"/>
      <c r="F234" s="62">
        <v>0</v>
      </c>
      <c r="G234" s="62">
        <v>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</row>
    <row r="235" spans="2:391" ht="14.5" x14ac:dyDescent="0.35">
      <c r="B235" s="61"/>
      <c r="C235" s="12"/>
      <c r="D235" s="12" t="s">
        <v>179</v>
      </c>
      <c r="E235" s="62">
        <v>0</v>
      </c>
      <c r="F235" s="62">
        <v>0</v>
      </c>
      <c r="G235" s="62">
        <v>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</row>
    <row r="236" spans="2:391" ht="14.5" x14ac:dyDescent="0.35">
      <c r="B236" s="61"/>
      <c r="C236" s="12"/>
      <c r="D236" s="12" t="s">
        <v>180</v>
      </c>
      <c r="E236" s="62">
        <v>0</v>
      </c>
      <c r="F236" s="62">
        <v>6.8529999999999994E-2</v>
      </c>
      <c r="G236" s="62">
        <v>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</row>
    <row r="237" spans="2:391" ht="14.5" x14ac:dyDescent="0.35">
      <c r="B237" s="61"/>
      <c r="C237" s="12"/>
      <c r="D237" s="12" t="s">
        <v>152</v>
      </c>
      <c r="E237" s="62">
        <v>0.94589999999999996</v>
      </c>
      <c r="F237" s="62">
        <v>1.7580460999999998</v>
      </c>
      <c r="G237" s="62">
        <v>0.93618460000000003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</row>
    <row r="238" spans="2:391" ht="14.5" x14ac:dyDescent="0.35">
      <c r="B238" s="61"/>
      <c r="C238" s="12"/>
      <c r="D238" s="12" t="s">
        <v>500</v>
      </c>
      <c r="E238" s="62">
        <v>0</v>
      </c>
      <c r="F238" s="62">
        <v>0</v>
      </c>
      <c r="G238" s="62">
        <v>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</row>
    <row r="239" spans="2:391" ht="14.5" x14ac:dyDescent="0.35">
      <c r="B239" s="61"/>
      <c r="C239" s="12"/>
      <c r="D239" s="12" t="s">
        <v>47</v>
      </c>
      <c r="E239" s="62">
        <v>-4.0000000000000002E-4</v>
      </c>
      <c r="F239" s="62">
        <v>0</v>
      </c>
      <c r="G239" s="62">
        <v>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</row>
    <row r="240" spans="2:391" ht="14.5" x14ac:dyDescent="0.35">
      <c r="B240" s="61"/>
      <c r="C240" s="12"/>
      <c r="D240" s="12" t="s">
        <v>153</v>
      </c>
      <c r="E240" s="62">
        <v>2.4630999999999998</v>
      </c>
      <c r="F240" s="62">
        <v>1.3437100000000002</v>
      </c>
      <c r="G240" s="62">
        <v>0.36657499999999998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</row>
    <row r="241" spans="2:391" ht="14.5" x14ac:dyDescent="0.35">
      <c r="B241" s="61"/>
      <c r="C241" s="12"/>
      <c r="D241" s="12" t="s">
        <v>531</v>
      </c>
      <c r="E241" s="62"/>
      <c r="F241" s="62">
        <v>2.4242599999999999</v>
      </c>
      <c r="G241" s="62">
        <v>0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</row>
    <row r="242" spans="2:391" ht="14.5" x14ac:dyDescent="0.35">
      <c r="B242" s="61" t="s">
        <v>559</v>
      </c>
      <c r="C242" s="61"/>
      <c r="D242" s="61"/>
      <c r="E242" s="62">
        <v>3.4146999999999998</v>
      </c>
      <c r="F242" s="62">
        <v>13.469916100000001</v>
      </c>
      <c r="G242" s="62">
        <v>1.3027595999999999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</row>
    <row r="243" spans="2:391" ht="14.5" x14ac:dyDescent="0.35">
      <c r="B243" s="61">
        <v>21</v>
      </c>
      <c r="C243" s="12" t="s">
        <v>302</v>
      </c>
      <c r="D243" s="12" t="s">
        <v>183</v>
      </c>
      <c r="E243" s="62">
        <v>0</v>
      </c>
      <c r="F243" s="62">
        <v>7.08</v>
      </c>
      <c r="G243" s="62">
        <v>3.3039999999999998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</row>
    <row r="244" spans="2:391" ht="14.5" x14ac:dyDescent="0.35">
      <c r="B244" s="61"/>
      <c r="C244" s="12"/>
      <c r="D244" s="12" t="s">
        <v>154</v>
      </c>
      <c r="E244" s="62">
        <v>0</v>
      </c>
      <c r="F244" s="62">
        <v>-14.30167</v>
      </c>
      <c r="G244" s="62">
        <v>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</row>
    <row r="245" spans="2:391" ht="14.5" x14ac:dyDescent="0.35">
      <c r="B245" s="61"/>
      <c r="C245" s="12"/>
      <c r="D245" s="12" t="s">
        <v>405</v>
      </c>
      <c r="E245" s="62">
        <v>0</v>
      </c>
      <c r="F245" s="62">
        <v>5.629E-2</v>
      </c>
      <c r="G245" s="62">
        <v>5.2040000000000003E-2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</row>
    <row r="246" spans="2:391" ht="14.5" x14ac:dyDescent="0.35">
      <c r="B246" s="61"/>
      <c r="C246" s="12"/>
      <c r="D246" s="12" t="s">
        <v>155</v>
      </c>
      <c r="E246" s="62">
        <v>0</v>
      </c>
      <c r="F246" s="62">
        <v>2.3395953</v>
      </c>
      <c r="G246" s="62">
        <v>0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</row>
    <row r="247" spans="2:391" ht="14.5" x14ac:dyDescent="0.35">
      <c r="B247" s="61"/>
      <c r="C247" s="12"/>
      <c r="D247" s="12" t="s">
        <v>184</v>
      </c>
      <c r="E247" s="62">
        <v>0</v>
      </c>
      <c r="F247" s="62">
        <v>0.29017999999999999</v>
      </c>
      <c r="G247" s="62">
        <v>0.13874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</row>
    <row r="248" spans="2:391" ht="14.5" x14ac:dyDescent="0.35">
      <c r="B248" s="61"/>
      <c r="C248" s="12"/>
      <c r="D248" s="12" t="s">
        <v>523</v>
      </c>
      <c r="E248" s="62"/>
      <c r="F248" s="62">
        <v>1.1941200000000001E-2</v>
      </c>
      <c r="G248" s="62">
        <v>1.1191E-2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</row>
    <row r="249" spans="2:391" ht="14.5" x14ac:dyDescent="0.35">
      <c r="B249" s="61"/>
      <c r="C249" s="12"/>
      <c r="D249" s="12" t="s">
        <v>185</v>
      </c>
      <c r="E249" s="62">
        <v>0</v>
      </c>
      <c r="F249" s="62">
        <v>0</v>
      </c>
      <c r="G249" s="62">
        <v>0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</row>
    <row r="250" spans="2:391" ht="14.5" x14ac:dyDescent="0.35">
      <c r="B250" s="61"/>
      <c r="C250" s="12"/>
      <c r="D250" s="12" t="s">
        <v>186</v>
      </c>
      <c r="E250" s="62">
        <v>0</v>
      </c>
      <c r="F250" s="62">
        <v>4.7699999999999999E-2</v>
      </c>
      <c r="G250" s="62">
        <v>0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</row>
    <row r="251" spans="2:391" ht="14.5" x14ac:dyDescent="0.35">
      <c r="B251" s="61"/>
      <c r="C251" s="12"/>
      <c r="D251" s="12" t="s">
        <v>32</v>
      </c>
      <c r="E251" s="62">
        <v>2.835</v>
      </c>
      <c r="F251" s="62">
        <v>43.411003299999997</v>
      </c>
      <c r="G251" s="62">
        <v>10.40733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</row>
    <row r="252" spans="2:391" ht="14.5" x14ac:dyDescent="0.35">
      <c r="B252" s="61"/>
      <c r="C252" s="12"/>
      <c r="D252" s="12" t="s">
        <v>404</v>
      </c>
      <c r="E252" s="62">
        <v>0</v>
      </c>
      <c r="F252" s="62">
        <v>0</v>
      </c>
      <c r="G252" s="62">
        <v>0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</row>
    <row r="253" spans="2:391" ht="14.5" x14ac:dyDescent="0.35">
      <c r="B253" s="61"/>
      <c r="C253" s="12"/>
      <c r="D253" s="12" t="s">
        <v>121</v>
      </c>
      <c r="E253" s="62">
        <v>0.3</v>
      </c>
      <c r="F253" s="62">
        <v>2.66</v>
      </c>
      <c r="G253" s="62">
        <v>0.4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</row>
    <row r="254" spans="2:391" ht="14.5" x14ac:dyDescent="0.35">
      <c r="B254" s="61" t="s">
        <v>560</v>
      </c>
      <c r="C254" s="61"/>
      <c r="D254" s="61"/>
      <c r="E254" s="62">
        <v>3.1349999999999998</v>
      </c>
      <c r="F254" s="62">
        <v>41.595039799999995</v>
      </c>
      <c r="G254" s="62">
        <v>14.313301000000001</v>
      </c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</row>
    <row r="255" spans="2:391" ht="14.5" x14ac:dyDescent="0.35">
      <c r="B255" s="61">
        <v>22</v>
      </c>
      <c r="C255" s="12" t="s">
        <v>307</v>
      </c>
      <c r="D255" s="12" t="s">
        <v>163</v>
      </c>
      <c r="E255" s="62">
        <v>0</v>
      </c>
      <c r="F255" s="62">
        <v>2.5694279999999998</v>
      </c>
      <c r="G255" s="62">
        <v>0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</row>
    <row r="256" spans="2:391" ht="14.5" x14ac:dyDescent="0.35">
      <c r="B256" s="61"/>
      <c r="C256" s="12"/>
      <c r="D256" s="12" t="s">
        <v>165</v>
      </c>
      <c r="E256" s="62">
        <v>0</v>
      </c>
      <c r="F256" s="62">
        <v>2.07E-2</v>
      </c>
      <c r="G256" s="62">
        <v>0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</row>
    <row r="257" spans="2:391" ht="14.5" x14ac:dyDescent="0.35">
      <c r="B257" s="61" t="s">
        <v>561</v>
      </c>
      <c r="C257" s="61"/>
      <c r="D257" s="61"/>
      <c r="E257" s="62">
        <v>0</v>
      </c>
      <c r="F257" s="62">
        <v>2.590128</v>
      </c>
      <c r="G257" s="62">
        <v>0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</row>
    <row r="258" spans="2:391" ht="14.5" x14ac:dyDescent="0.35">
      <c r="B258" s="61">
        <v>23</v>
      </c>
      <c r="C258" s="12" t="s">
        <v>308</v>
      </c>
      <c r="D258" s="12" t="s">
        <v>164</v>
      </c>
      <c r="E258" s="62">
        <v>0</v>
      </c>
      <c r="F258" s="62">
        <v>0</v>
      </c>
      <c r="G258" s="62">
        <v>0</v>
      </c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</row>
    <row r="259" spans="2:391" ht="14.5" x14ac:dyDescent="0.35">
      <c r="B259" s="61"/>
      <c r="C259" s="12"/>
      <c r="D259" s="12" t="s">
        <v>488</v>
      </c>
      <c r="E259" s="62">
        <v>0</v>
      </c>
      <c r="F259" s="62"/>
      <c r="G259" s="62">
        <v>0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</row>
    <row r="260" spans="2:391" ht="14.5" x14ac:dyDescent="0.35">
      <c r="B260" s="61" t="s">
        <v>562</v>
      </c>
      <c r="C260" s="61"/>
      <c r="D260" s="61"/>
      <c r="E260" s="62">
        <v>0</v>
      </c>
      <c r="F260" s="62">
        <v>0</v>
      </c>
      <c r="G260" s="62">
        <v>0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</row>
    <row r="261" spans="2:391" ht="14.5" x14ac:dyDescent="0.35">
      <c r="B261" s="61">
        <v>24</v>
      </c>
      <c r="C261" s="12" t="s">
        <v>317</v>
      </c>
      <c r="D261" s="12" t="s">
        <v>31</v>
      </c>
      <c r="E261" s="62">
        <v>0.1024</v>
      </c>
      <c r="F261" s="62">
        <v>0.64012580000000008</v>
      </c>
      <c r="G261" s="62">
        <v>0.24160000000000001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</row>
    <row r="262" spans="2:391" ht="14.5" x14ac:dyDescent="0.35">
      <c r="B262" s="61"/>
      <c r="C262" s="12"/>
      <c r="D262" s="12" t="s">
        <v>35</v>
      </c>
      <c r="E262" s="62">
        <v>0.57920000000000005</v>
      </c>
      <c r="F262" s="62">
        <v>4.6975141999999996</v>
      </c>
      <c r="G262" s="62">
        <v>0.85207999999999995</v>
      </c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</row>
    <row r="263" spans="2:391" ht="14.5" x14ac:dyDescent="0.35">
      <c r="B263" s="61" t="s">
        <v>563</v>
      </c>
      <c r="C263" s="61"/>
      <c r="D263" s="61"/>
      <c r="E263" s="62">
        <v>0.68160000000000009</v>
      </c>
      <c r="F263" s="62">
        <v>5.3376399999999995</v>
      </c>
      <c r="G263" s="62">
        <v>1.09368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</row>
    <row r="264" spans="2:391" ht="14.5" x14ac:dyDescent="0.35">
      <c r="B264" s="61">
        <v>25</v>
      </c>
      <c r="C264" s="12" t="s">
        <v>325</v>
      </c>
      <c r="D264" s="12" t="s">
        <v>378</v>
      </c>
      <c r="E264" s="62">
        <v>2.75E-2</v>
      </c>
      <c r="F264" s="62">
        <v>8.5000000000000006E-3</v>
      </c>
      <c r="G264" s="62">
        <v>3.4023999999999999E-2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</row>
    <row r="265" spans="2:391" ht="14.5" x14ac:dyDescent="0.35">
      <c r="B265" s="61"/>
      <c r="C265" s="12"/>
      <c r="D265" s="12" t="s">
        <v>191</v>
      </c>
      <c r="E265" s="62">
        <v>0.05</v>
      </c>
      <c r="F265" s="62">
        <v>0</v>
      </c>
      <c r="G265" s="62">
        <v>0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</row>
    <row r="266" spans="2:391" ht="14.5" x14ac:dyDescent="0.35">
      <c r="B266" s="61"/>
      <c r="C266" s="12"/>
      <c r="D266" s="12" t="s">
        <v>255</v>
      </c>
      <c r="E266" s="62">
        <v>0</v>
      </c>
      <c r="F266" s="62">
        <v>0</v>
      </c>
      <c r="G266" s="62">
        <v>0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</row>
    <row r="267" spans="2:391" ht="14.5" x14ac:dyDescent="0.35">
      <c r="B267" s="61"/>
      <c r="C267" s="12"/>
      <c r="D267" s="12" t="s">
        <v>364</v>
      </c>
      <c r="E267" s="62">
        <v>0</v>
      </c>
      <c r="F267" s="62">
        <v>5.0000000000000001E-3</v>
      </c>
      <c r="G267" s="62">
        <v>0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</row>
    <row r="268" spans="2:391" ht="14.5" x14ac:dyDescent="0.35">
      <c r="B268" s="61"/>
      <c r="C268" s="12"/>
      <c r="D268" s="12" t="s">
        <v>36</v>
      </c>
      <c r="E268" s="62">
        <v>0.03</v>
      </c>
      <c r="F268" s="62">
        <v>5.7079999999999999E-2</v>
      </c>
      <c r="G268" s="62">
        <v>0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</row>
    <row r="269" spans="2:391" ht="14.5" x14ac:dyDescent="0.35">
      <c r="B269" s="61"/>
      <c r="C269" s="12"/>
      <c r="D269" s="12" t="s">
        <v>413</v>
      </c>
      <c r="E269" s="62">
        <v>0</v>
      </c>
      <c r="F269" s="62">
        <v>0</v>
      </c>
      <c r="G269" s="62">
        <v>0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</row>
    <row r="270" spans="2:391" ht="14.5" x14ac:dyDescent="0.35">
      <c r="B270" s="61"/>
      <c r="C270" s="12"/>
      <c r="D270" s="12" t="s">
        <v>193</v>
      </c>
      <c r="E270" s="62">
        <v>0.50839999999999996</v>
      </c>
      <c r="F270" s="62">
        <v>9.8952673000000004</v>
      </c>
      <c r="G270" s="62">
        <v>5.4460100000000002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</row>
    <row r="271" spans="2:391" ht="14.5" x14ac:dyDescent="0.35">
      <c r="B271" s="61"/>
      <c r="C271" s="12"/>
      <c r="D271" s="12" t="s">
        <v>379</v>
      </c>
      <c r="E271" s="62">
        <v>10.7972</v>
      </c>
      <c r="F271" s="62">
        <v>10.650930000000001</v>
      </c>
      <c r="G271" s="62">
        <v>12.49207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</row>
    <row r="272" spans="2:391" ht="14.5" x14ac:dyDescent="0.35">
      <c r="B272" s="61" t="s">
        <v>564</v>
      </c>
      <c r="C272" s="61"/>
      <c r="D272" s="61"/>
      <c r="E272" s="62">
        <v>11.4131</v>
      </c>
      <c r="F272" s="62">
        <v>20.616777300000003</v>
      </c>
      <c r="G272" s="62">
        <v>17.972104000000002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</row>
    <row r="273" spans="2:391" ht="14.5" x14ac:dyDescent="0.35">
      <c r="B273" s="61">
        <v>26</v>
      </c>
      <c r="C273" s="12" t="s">
        <v>270</v>
      </c>
      <c r="D273" s="12" t="s">
        <v>160</v>
      </c>
      <c r="E273" s="62">
        <v>0</v>
      </c>
      <c r="F273" s="62">
        <v>0</v>
      </c>
      <c r="G273" s="62">
        <v>0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</row>
    <row r="274" spans="2:391" ht="14.5" x14ac:dyDescent="0.35">
      <c r="B274" s="61"/>
      <c r="C274" s="12"/>
      <c r="D274" s="12" t="s">
        <v>195</v>
      </c>
      <c r="E274" s="62">
        <v>0</v>
      </c>
      <c r="F274" s="62">
        <v>1.1387100000000001</v>
      </c>
      <c r="G274" s="62">
        <v>0</v>
      </c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</row>
    <row r="275" spans="2:391" ht="14.5" x14ac:dyDescent="0.35">
      <c r="B275" s="61"/>
      <c r="C275" s="12"/>
      <c r="D275" s="12" t="s">
        <v>161</v>
      </c>
      <c r="E275" s="62">
        <v>0</v>
      </c>
      <c r="F275" s="62">
        <v>0.3812815</v>
      </c>
      <c r="G275" s="62">
        <v>0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</row>
    <row r="276" spans="2:391" ht="14.5" x14ac:dyDescent="0.35">
      <c r="B276" s="61"/>
      <c r="C276" s="12"/>
      <c r="D276" s="12" t="s">
        <v>162</v>
      </c>
      <c r="E276" s="62">
        <v>0</v>
      </c>
      <c r="F276" s="62">
        <v>0.91060459999999999</v>
      </c>
      <c r="G276" s="62">
        <v>0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</row>
    <row r="277" spans="2:391" ht="14.5" x14ac:dyDescent="0.35">
      <c r="B277" s="61"/>
      <c r="C277" s="12"/>
      <c r="D277" s="12" t="s">
        <v>156</v>
      </c>
      <c r="E277" s="62">
        <v>0</v>
      </c>
      <c r="F277" s="62">
        <v>0</v>
      </c>
      <c r="G277" s="62">
        <v>0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</row>
    <row r="278" spans="2:391" ht="14.5" x14ac:dyDescent="0.35">
      <c r="B278" s="61"/>
      <c r="C278" s="12"/>
      <c r="D278" s="12" t="s">
        <v>157</v>
      </c>
      <c r="E278" s="62">
        <v>-0.34129999999999999</v>
      </c>
      <c r="F278" s="62">
        <v>0</v>
      </c>
      <c r="G278" s="62">
        <v>0</v>
      </c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</row>
    <row r="279" spans="2:391" ht="14.5" x14ac:dyDescent="0.35">
      <c r="B279" s="61"/>
      <c r="C279" s="12"/>
      <c r="D279" s="12" t="s">
        <v>86</v>
      </c>
      <c r="E279" s="62">
        <v>0</v>
      </c>
      <c r="F279" s="62">
        <v>0.84799999999999998</v>
      </c>
      <c r="G279" s="62">
        <v>0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</row>
    <row r="280" spans="2:391" ht="14.5" x14ac:dyDescent="0.35">
      <c r="B280" s="61"/>
      <c r="C280" s="12"/>
      <c r="D280" s="12" t="s">
        <v>178</v>
      </c>
      <c r="E280" s="62">
        <v>0.05</v>
      </c>
      <c r="F280" s="62">
        <v>1.75</v>
      </c>
      <c r="G280" s="62">
        <v>0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</row>
    <row r="281" spans="2:391" ht="14.5" x14ac:dyDescent="0.35">
      <c r="B281" s="61"/>
      <c r="C281" s="12"/>
      <c r="D281" s="12" t="s">
        <v>158</v>
      </c>
      <c r="E281" s="62">
        <v>0</v>
      </c>
      <c r="F281" s="62">
        <v>0</v>
      </c>
      <c r="G281" s="62">
        <v>0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</row>
    <row r="282" spans="2:391" ht="14.5" x14ac:dyDescent="0.35">
      <c r="B282" s="61"/>
      <c r="C282" s="12"/>
      <c r="D282" s="12" t="s">
        <v>85</v>
      </c>
      <c r="E282" s="62">
        <v>0</v>
      </c>
      <c r="F282" s="62">
        <v>0.14941850000000001</v>
      </c>
      <c r="G282" s="62">
        <v>0.21</v>
      </c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</row>
    <row r="283" spans="2:391" ht="14.5" x14ac:dyDescent="0.35">
      <c r="B283" s="61"/>
      <c r="C283" s="12"/>
      <c r="D283" s="12" t="s">
        <v>483</v>
      </c>
      <c r="E283" s="62">
        <v>0</v>
      </c>
      <c r="F283" s="62">
        <v>0</v>
      </c>
      <c r="G283" s="62">
        <v>0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</row>
    <row r="284" spans="2:391" ht="14.5" x14ac:dyDescent="0.35">
      <c r="B284" s="61"/>
      <c r="C284" s="12"/>
      <c r="D284" s="12" t="s">
        <v>254</v>
      </c>
      <c r="E284" s="62">
        <v>0</v>
      </c>
      <c r="F284" s="62">
        <v>0</v>
      </c>
      <c r="G284" s="62">
        <v>0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</row>
    <row r="285" spans="2:391" ht="14.5" x14ac:dyDescent="0.35">
      <c r="B285" s="61"/>
      <c r="C285" s="12"/>
      <c r="D285" s="12" t="s">
        <v>518</v>
      </c>
      <c r="E285" s="62"/>
      <c r="F285" s="62">
        <v>0</v>
      </c>
      <c r="G285" s="62">
        <v>0</v>
      </c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</row>
    <row r="286" spans="2:391" ht="14.5" x14ac:dyDescent="0.35">
      <c r="B286" s="61"/>
      <c r="C286" s="12"/>
      <c r="D286" s="12" t="s">
        <v>159</v>
      </c>
      <c r="E286" s="62">
        <v>0</v>
      </c>
      <c r="F286" s="62">
        <v>2.11389</v>
      </c>
      <c r="G286" s="62">
        <v>0</v>
      </c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</row>
    <row r="287" spans="2:391" ht="14.5" x14ac:dyDescent="0.35">
      <c r="B287" s="61"/>
      <c r="C287" s="12"/>
      <c r="D287" s="12" t="s">
        <v>43</v>
      </c>
      <c r="E287" s="62">
        <v>1.2301</v>
      </c>
      <c r="F287" s="62">
        <v>2.9756999999999998</v>
      </c>
      <c r="G287" s="62">
        <v>0.38336999999999999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</row>
    <row r="288" spans="2:391" ht="14.5" x14ac:dyDescent="0.35">
      <c r="B288" s="61"/>
      <c r="C288" s="12"/>
      <c r="D288" s="12" t="s">
        <v>30</v>
      </c>
      <c r="E288" s="62">
        <v>0</v>
      </c>
      <c r="F288" s="62">
        <v>0</v>
      </c>
      <c r="G288" s="62">
        <v>0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</row>
    <row r="289" spans="2:391" ht="14.5" x14ac:dyDescent="0.35">
      <c r="B289" s="61"/>
      <c r="C289" s="12"/>
      <c r="D289" s="12" t="s">
        <v>525</v>
      </c>
      <c r="E289" s="62">
        <v>7.0000000000000007E-2</v>
      </c>
      <c r="F289" s="62">
        <v>0</v>
      </c>
      <c r="G289" s="62">
        <v>0</v>
      </c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</row>
    <row r="290" spans="2:391" ht="14.5" x14ac:dyDescent="0.35">
      <c r="B290" s="61"/>
      <c r="C290" s="12"/>
      <c r="D290" s="12" t="s">
        <v>187</v>
      </c>
      <c r="E290" s="62">
        <v>0</v>
      </c>
      <c r="F290" s="62">
        <v>0</v>
      </c>
      <c r="G290" s="62">
        <v>0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</row>
    <row r="291" spans="2:391" ht="14.5" x14ac:dyDescent="0.35">
      <c r="B291" s="61"/>
      <c r="C291" s="12"/>
      <c r="D291" s="12" t="s">
        <v>181</v>
      </c>
      <c r="E291" s="62">
        <v>0</v>
      </c>
      <c r="F291" s="62">
        <v>0</v>
      </c>
      <c r="G291" s="62">
        <v>0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</row>
    <row r="292" spans="2:391" ht="14.5" x14ac:dyDescent="0.35">
      <c r="B292" s="61"/>
      <c r="C292" s="12"/>
      <c r="D292" s="12" t="s">
        <v>182</v>
      </c>
      <c r="E292" s="62">
        <v>3.5999999999999997E-2</v>
      </c>
      <c r="F292" s="62">
        <v>2.2499999999999999E-2</v>
      </c>
      <c r="G292" s="62">
        <v>4.2500000000000003E-2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</row>
    <row r="293" spans="2:391" ht="14.5" x14ac:dyDescent="0.35">
      <c r="B293" s="61"/>
      <c r="C293" s="12"/>
      <c r="D293" s="12" t="s">
        <v>482</v>
      </c>
      <c r="E293" s="62">
        <v>0</v>
      </c>
      <c r="F293" s="62">
        <v>0</v>
      </c>
      <c r="G293" s="62">
        <v>0</v>
      </c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</row>
    <row r="294" spans="2:391" ht="14.5" x14ac:dyDescent="0.35">
      <c r="B294" s="61"/>
      <c r="C294" s="12"/>
      <c r="D294" s="12" t="s">
        <v>177</v>
      </c>
      <c r="E294" s="62">
        <v>1.1625000000000001</v>
      </c>
      <c r="F294" s="62">
        <v>1.32525</v>
      </c>
      <c r="G294" s="62">
        <v>0</v>
      </c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</row>
    <row r="295" spans="2:391" ht="14.5" x14ac:dyDescent="0.35">
      <c r="B295" s="61"/>
      <c r="C295" s="12"/>
      <c r="D295" s="12" t="s">
        <v>166</v>
      </c>
      <c r="E295" s="62">
        <v>9.300000000000001E-3</v>
      </c>
      <c r="F295" s="62">
        <v>9.6689000000000011E-3</v>
      </c>
      <c r="G295" s="62">
        <v>8.7291000000000001E-3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</row>
    <row r="296" spans="2:391" ht="14.5" x14ac:dyDescent="0.35">
      <c r="B296" s="61"/>
      <c r="C296" s="12"/>
      <c r="D296" s="12" t="s">
        <v>168</v>
      </c>
      <c r="E296" s="62">
        <v>0</v>
      </c>
      <c r="F296" s="62">
        <v>0.72470579999999996</v>
      </c>
      <c r="G296" s="62">
        <v>0.38368000000000002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</row>
    <row r="297" spans="2:391" ht="14.5" x14ac:dyDescent="0.35">
      <c r="B297" s="61"/>
      <c r="C297" s="12"/>
      <c r="D297" s="12" t="s">
        <v>169</v>
      </c>
      <c r="E297" s="62">
        <v>0.24809999999999999</v>
      </c>
      <c r="F297" s="62">
        <v>11.2978758</v>
      </c>
      <c r="G297" s="62">
        <v>3.795328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</row>
    <row r="298" spans="2:391" ht="14.5" x14ac:dyDescent="0.35">
      <c r="B298" s="61" t="s">
        <v>565</v>
      </c>
      <c r="C298" s="61"/>
      <c r="D298" s="61"/>
      <c r="E298" s="62">
        <v>2.4647000000000001</v>
      </c>
      <c r="F298" s="62">
        <v>23.6476051</v>
      </c>
      <c r="G298" s="62">
        <v>4.8236071000000003</v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</row>
    <row r="299" spans="2:391" ht="14.5" x14ac:dyDescent="0.35">
      <c r="B299" s="61">
        <v>27</v>
      </c>
      <c r="C299" s="12" t="s">
        <v>503</v>
      </c>
      <c r="D299" s="12" t="s">
        <v>189</v>
      </c>
      <c r="E299" s="62">
        <v>0</v>
      </c>
      <c r="F299" s="62">
        <v>19.772639999999999</v>
      </c>
      <c r="G299" s="62">
        <v>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</row>
    <row r="300" spans="2:391" ht="14.5" x14ac:dyDescent="0.35">
      <c r="B300" s="61"/>
      <c r="C300" s="12"/>
      <c r="D300" s="12" t="s">
        <v>625</v>
      </c>
      <c r="E300" s="62">
        <v>7.6233000000000004</v>
      </c>
      <c r="F300" s="62">
        <v>7.6233333329999997</v>
      </c>
      <c r="G300" s="62">
        <v>15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</row>
    <row r="301" spans="2:391" ht="14.5" x14ac:dyDescent="0.35">
      <c r="B301" s="61" t="s">
        <v>566</v>
      </c>
      <c r="C301" s="61"/>
      <c r="D301" s="61"/>
      <c r="E301" s="62">
        <v>7.6233000000000004</v>
      </c>
      <c r="F301" s="62">
        <v>27.395973333000001</v>
      </c>
      <c r="G301" s="62">
        <v>15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</row>
    <row r="302" spans="2:391" ht="14.5" x14ac:dyDescent="0.35">
      <c r="B302" s="61">
        <v>28</v>
      </c>
      <c r="C302" s="12" t="s">
        <v>332</v>
      </c>
      <c r="D302" s="12" t="s">
        <v>484</v>
      </c>
      <c r="E302" s="62">
        <v>0</v>
      </c>
      <c r="F302" s="62">
        <v>0</v>
      </c>
      <c r="G302" s="62">
        <v>0</v>
      </c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</row>
    <row r="303" spans="2:391" ht="14.5" x14ac:dyDescent="0.35">
      <c r="B303" s="61"/>
      <c r="C303" s="12"/>
      <c r="D303" s="12" t="s">
        <v>485</v>
      </c>
      <c r="E303" s="62">
        <v>0</v>
      </c>
      <c r="F303" s="62"/>
      <c r="G303" s="62">
        <v>0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</row>
    <row r="304" spans="2:391" ht="14.5" x14ac:dyDescent="0.35">
      <c r="B304" s="61"/>
      <c r="C304" s="12"/>
      <c r="D304" s="12" t="s">
        <v>486</v>
      </c>
      <c r="E304" s="62">
        <v>0</v>
      </c>
      <c r="F304" s="62">
        <v>0</v>
      </c>
      <c r="G304" s="62">
        <v>0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</row>
    <row r="305" spans="2:391" ht="14.5" x14ac:dyDescent="0.35">
      <c r="B305" s="61"/>
      <c r="C305" s="12"/>
      <c r="D305" s="12" t="s">
        <v>487</v>
      </c>
      <c r="E305" s="62">
        <v>0</v>
      </c>
      <c r="F305" s="62">
        <v>0</v>
      </c>
      <c r="G305" s="62">
        <v>0</v>
      </c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</row>
    <row r="306" spans="2:391" ht="14.5" x14ac:dyDescent="0.35">
      <c r="B306" s="61" t="s">
        <v>567</v>
      </c>
      <c r="C306" s="61"/>
      <c r="D306" s="61"/>
      <c r="E306" s="62">
        <v>0</v>
      </c>
      <c r="F306" s="62">
        <v>0</v>
      </c>
      <c r="G306" s="62">
        <v>0</v>
      </c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</row>
    <row r="307" spans="2:391" ht="14.5" x14ac:dyDescent="0.35">
      <c r="B307" s="12">
        <v>29</v>
      </c>
      <c r="C307" s="12" t="s">
        <v>204</v>
      </c>
      <c r="D307" s="12" t="s">
        <v>114</v>
      </c>
      <c r="E307" s="62">
        <v>0.26419999999999999</v>
      </c>
      <c r="F307" s="62">
        <v>1.5440591000000001</v>
      </c>
      <c r="G307" s="62">
        <v>1.6051827999999999</v>
      </c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</row>
    <row r="308" spans="2:391" ht="14.5" x14ac:dyDescent="0.35">
      <c r="B308" s="12"/>
      <c r="C308" s="12"/>
      <c r="D308" s="12" t="s">
        <v>56</v>
      </c>
      <c r="E308" s="62">
        <v>9.3099999999999988E-2</v>
      </c>
      <c r="F308" s="62">
        <v>3.8578309000000002</v>
      </c>
      <c r="G308" s="62">
        <v>0.20334629999999998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</row>
    <row r="309" spans="2:391" ht="14.5" x14ac:dyDescent="0.35">
      <c r="B309" s="12"/>
      <c r="C309" s="12"/>
      <c r="D309" s="12" t="s">
        <v>115</v>
      </c>
      <c r="E309" s="62">
        <v>0</v>
      </c>
      <c r="F309" s="62">
        <v>0</v>
      </c>
      <c r="G309" s="62">
        <v>0</v>
      </c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</row>
    <row r="310" spans="2:391" ht="14.5" x14ac:dyDescent="0.35">
      <c r="B310" s="12"/>
      <c r="C310" s="12"/>
      <c r="D310" s="12" t="s">
        <v>380</v>
      </c>
      <c r="E310" s="62">
        <v>7.4999999999999997E-3</v>
      </c>
      <c r="F310" s="62">
        <v>2.0192600000000002E-2</v>
      </c>
      <c r="G310" s="62">
        <v>0</v>
      </c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</row>
    <row r="311" spans="2:391" ht="14.5" x14ac:dyDescent="0.35">
      <c r="B311" s="12"/>
      <c r="C311" s="12"/>
      <c r="D311" s="12" t="s">
        <v>480</v>
      </c>
      <c r="E311" s="62">
        <v>0</v>
      </c>
      <c r="F311" s="62">
        <v>0</v>
      </c>
      <c r="G311" s="62">
        <v>0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</row>
    <row r="312" spans="2:391" ht="14.5" x14ac:dyDescent="0.35">
      <c r="B312" s="12"/>
      <c r="C312" s="12"/>
      <c r="D312" s="12" t="s">
        <v>532</v>
      </c>
      <c r="E312" s="62"/>
      <c r="F312" s="62">
        <v>7.9596999999999998</v>
      </c>
      <c r="G312" s="62">
        <v>0</v>
      </c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</row>
    <row r="313" spans="2:391" ht="14.5" x14ac:dyDescent="0.35">
      <c r="B313" s="12"/>
      <c r="C313" s="12"/>
      <c r="D313" s="12" t="s">
        <v>253</v>
      </c>
      <c r="E313" s="62">
        <v>0</v>
      </c>
      <c r="F313" s="62">
        <v>0</v>
      </c>
      <c r="G313" s="62">
        <v>0</v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</row>
    <row r="314" spans="2:391" ht="14.5" x14ac:dyDescent="0.35">
      <c r="B314" s="12" t="s">
        <v>569</v>
      </c>
      <c r="C314" s="12"/>
      <c r="D314" s="12"/>
      <c r="E314" s="62">
        <v>0.36479999999999996</v>
      </c>
      <c r="F314" s="62">
        <v>13.381782599999999</v>
      </c>
      <c r="G314" s="62">
        <v>1.8085290999999999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</row>
    <row r="315" spans="2:391" ht="14.5" x14ac:dyDescent="0.35">
      <c r="B315" s="61" t="s">
        <v>536</v>
      </c>
      <c r="C315" s="61"/>
      <c r="D315" s="61"/>
      <c r="E315" s="62">
        <v>-911.11639999999954</v>
      </c>
      <c r="F315" s="62">
        <v>-808.54759905699802</v>
      </c>
      <c r="G315" s="62">
        <v>-1125.2457756730012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</row>
    <row r="316" spans="2:391" ht="14" x14ac:dyDescent="0.3">
      <c r="B316" s="5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</row>
    <row r="317" spans="2:391" ht="14" x14ac:dyDescent="0.3">
      <c r="B317" s="56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</row>
    <row r="318" spans="2:391" ht="14" x14ac:dyDescent="0.3">
      <c r="B318" s="56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</row>
    <row r="319" spans="2:391" ht="14" x14ac:dyDescent="0.3">
      <c r="B319" s="56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</row>
    <row r="320" spans="2:391" ht="14" x14ac:dyDescent="0.3">
      <c r="B320" s="56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</row>
    <row r="321" spans="2:391" ht="14" x14ac:dyDescent="0.3">
      <c r="B321" s="56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</row>
    <row r="322" spans="2:391" ht="14" x14ac:dyDescent="0.3">
      <c r="B322" s="56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</row>
    <row r="323" spans="2:391" ht="14" x14ac:dyDescent="0.3">
      <c r="B323" s="56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</row>
    <row r="324" spans="2:391" ht="14" x14ac:dyDescent="0.3">
      <c r="B324" s="56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</row>
    <row r="325" spans="2:391" ht="14" x14ac:dyDescent="0.3">
      <c r="B325" s="56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</row>
    <row r="326" spans="2:391" ht="14" x14ac:dyDescent="0.3">
      <c r="B326" s="5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</row>
    <row r="327" spans="2:391" ht="14" x14ac:dyDescent="0.3">
      <c r="B327" s="56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</row>
    <row r="328" spans="2:391" ht="14" x14ac:dyDescent="0.3">
      <c r="B328" s="56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</row>
    <row r="329" spans="2:391" ht="14" x14ac:dyDescent="0.3">
      <c r="B329" s="56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</row>
    <row r="330" spans="2:391" ht="14" x14ac:dyDescent="0.3">
      <c r="B330" s="56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</row>
    <row r="331" spans="2:391" ht="14" x14ac:dyDescent="0.3">
      <c r="B331" s="56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</row>
    <row r="332" spans="2:391" ht="14" x14ac:dyDescent="0.3">
      <c r="B332" s="56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</row>
    <row r="333" spans="2:391" ht="14" x14ac:dyDescent="0.3">
      <c r="B333" s="56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</row>
    <row r="334" spans="2:391" ht="14" x14ac:dyDescent="0.3">
      <c r="B334" s="56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</row>
    <row r="335" spans="2:391" ht="14" x14ac:dyDescent="0.3">
      <c r="B335" s="56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</row>
    <row r="336" spans="2:391" ht="14" x14ac:dyDescent="0.3">
      <c r="B336" s="5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</row>
    <row r="337" spans="2:391" ht="14" x14ac:dyDescent="0.3">
      <c r="B337" s="56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</row>
    <row r="338" spans="2:391" ht="14" x14ac:dyDescent="0.3">
      <c r="B338" s="56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</row>
    <row r="339" spans="2:391" ht="14" x14ac:dyDescent="0.3">
      <c r="B339" s="56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</row>
    <row r="340" spans="2:391" ht="14" x14ac:dyDescent="0.3">
      <c r="B340" s="56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</row>
    <row r="341" spans="2:391" ht="14" x14ac:dyDescent="0.3">
      <c r="B341" s="56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</row>
    <row r="342" spans="2:391" ht="14" x14ac:dyDescent="0.3">
      <c r="B342" s="56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</row>
    <row r="343" spans="2:391" ht="14" x14ac:dyDescent="0.3">
      <c r="B343" s="56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</row>
    <row r="344" spans="2:391" ht="14" x14ac:dyDescent="0.3">
      <c r="B344" s="56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</row>
    <row r="345" spans="2:391" ht="14" x14ac:dyDescent="0.3">
      <c r="B345" s="56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</row>
    <row r="346" spans="2:391" ht="14" x14ac:dyDescent="0.3">
      <c r="B346" s="5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</row>
    <row r="347" spans="2:391" ht="14" x14ac:dyDescent="0.3">
      <c r="B347" s="56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</row>
    <row r="348" spans="2:391" ht="14" x14ac:dyDescent="0.3">
      <c r="B348" s="56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</row>
    <row r="349" spans="2:391" ht="14" x14ac:dyDescent="0.3">
      <c r="B349" s="56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</row>
    <row r="350" spans="2:391" ht="14" x14ac:dyDescent="0.3">
      <c r="B350" s="56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</row>
    <row r="351" spans="2:391" ht="14" x14ac:dyDescent="0.3">
      <c r="B351" s="56"/>
      <c r="C351"/>
      <c r="D351"/>
      <c r="E351"/>
      <c r="F351"/>
      <c r="G351"/>
      <c r="H351"/>
      <c r="I351"/>
      <c r="J351"/>
      <c r="K351"/>
      <c r="L351"/>
      <c r="M351"/>
      <c r="N351"/>
    </row>
    <row r="352" spans="2:391" ht="14" x14ac:dyDescent="0.3">
      <c r="B352" s="56"/>
      <c r="C352"/>
      <c r="D352"/>
      <c r="E352"/>
      <c r="F352"/>
      <c r="G352"/>
      <c r="H352"/>
      <c r="I352"/>
      <c r="J352"/>
      <c r="K352"/>
      <c r="L352"/>
      <c r="M352"/>
      <c r="N352"/>
    </row>
    <row r="353" spans="2:14" ht="14" x14ac:dyDescent="0.3">
      <c r="B353" s="56"/>
      <c r="C353"/>
      <c r="D353"/>
      <c r="E353"/>
      <c r="F353"/>
      <c r="G353"/>
      <c r="H353"/>
      <c r="I353"/>
      <c r="J353"/>
      <c r="K353"/>
      <c r="L353"/>
      <c r="M353"/>
      <c r="N353"/>
    </row>
    <row r="354" spans="2:14" ht="14" x14ac:dyDescent="0.3">
      <c r="B354" s="56"/>
      <c r="C354"/>
      <c r="D354"/>
      <c r="E354"/>
      <c r="F354"/>
      <c r="G354"/>
      <c r="H354"/>
      <c r="I354"/>
      <c r="J354"/>
      <c r="K354"/>
      <c r="L354"/>
      <c r="M354"/>
      <c r="N354"/>
    </row>
    <row r="355" spans="2:14" ht="14" x14ac:dyDescent="0.3">
      <c r="B355" s="56"/>
      <c r="C355"/>
      <c r="D355"/>
      <c r="E355"/>
      <c r="F355"/>
      <c r="G355"/>
      <c r="H355"/>
      <c r="I355"/>
      <c r="J355"/>
      <c r="K355"/>
      <c r="L355"/>
      <c r="M355"/>
      <c r="N355"/>
    </row>
    <row r="356" spans="2:14" ht="14" x14ac:dyDescent="0.3">
      <c r="B356" s="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2:14" ht="14" x14ac:dyDescent="0.3">
      <c r="B357" s="56"/>
      <c r="C357"/>
      <c r="D357"/>
      <c r="E357"/>
      <c r="F357"/>
      <c r="G357"/>
      <c r="H357"/>
      <c r="I357"/>
      <c r="J357"/>
      <c r="K357"/>
      <c r="L357"/>
      <c r="M357"/>
      <c r="N357"/>
    </row>
    <row r="358" spans="2:14" ht="14" x14ac:dyDescent="0.3">
      <c r="B358" s="56"/>
      <c r="C358"/>
      <c r="D358"/>
      <c r="E358"/>
      <c r="F358"/>
      <c r="G358"/>
      <c r="H358"/>
      <c r="I358"/>
      <c r="J358"/>
      <c r="K358"/>
      <c r="L358"/>
      <c r="M358"/>
      <c r="N358"/>
    </row>
    <row r="359" spans="2:14" ht="14" x14ac:dyDescent="0.3">
      <c r="B359" s="56"/>
      <c r="C359"/>
      <c r="D359"/>
      <c r="E359"/>
      <c r="F359"/>
      <c r="G359"/>
      <c r="H359"/>
      <c r="I359"/>
      <c r="J359"/>
      <c r="K359"/>
      <c r="L359"/>
      <c r="M359"/>
      <c r="N359"/>
    </row>
    <row r="360" spans="2:14" ht="14" x14ac:dyDescent="0.3">
      <c r="B360" s="56"/>
      <c r="C360"/>
      <c r="D360"/>
      <c r="E360"/>
      <c r="F360"/>
      <c r="G360"/>
      <c r="H360"/>
      <c r="I360"/>
      <c r="J360"/>
      <c r="K360"/>
      <c r="L360"/>
      <c r="M360"/>
      <c r="N360"/>
    </row>
    <row r="361" spans="2:14" ht="14" x14ac:dyDescent="0.3">
      <c r="B361" s="56"/>
      <c r="C361"/>
      <c r="D361"/>
      <c r="E361"/>
      <c r="F361"/>
      <c r="G361"/>
      <c r="H361"/>
      <c r="I361"/>
      <c r="J361"/>
      <c r="K361"/>
      <c r="L361"/>
      <c r="M361"/>
      <c r="N361"/>
    </row>
    <row r="362" spans="2:14" ht="14" x14ac:dyDescent="0.3">
      <c r="B362" s="56"/>
      <c r="C362"/>
      <c r="D362"/>
      <c r="E362"/>
      <c r="F362"/>
      <c r="G362"/>
      <c r="H362"/>
      <c r="I362"/>
      <c r="J362"/>
      <c r="K362"/>
      <c r="L362"/>
      <c r="M362"/>
      <c r="N362"/>
    </row>
    <row r="363" spans="2:14" ht="14" x14ac:dyDescent="0.3">
      <c r="B363" s="56"/>
      <c r="C363"/>
      <c r="D363"/>
      <c r="E363"/>
      <c r="F363"/>
      <c r="G363"/>
      <c r="H363"/>
      <c r="I363"/>
      <c r="J363"/>
      <c r="K363"/>
      <c r="L363"/>
      <c r="M363"/>
      <c r="N363"/>
    </row>
    <row r="364" spans="2:14" ht="14" x14ac:dyDescent="0.3">
      <c r="B364" s="56"/>
      <c r="C364"/>
      <c r="D364"/>
      <c r="E364"/>
      <c r="F364"/>
      <c r="G364"/>
      <c r="H364"/>
      <c r="I364"/>
      <c r="J364"/>
      <c r="K364"/>
      <c r="L364"/>
      <c r="M364"/>
      <c r="N364"/>
    </row>
    <row r="365" spans="2:14" ht="14" x14ac:dyDescent="0.3">
      <c r="B365" s="56"/>
      <c r="C365"/>
      <c r="D365"/>
      <c r="E365"/>
      <c r="F365"/>
      <c r="G365"/>
      <c r="H365"/>
      <c r="I365"/>
      <c r="J365"/>
      <c r="K365"/>
      <c r="L365"/>
      <c r="M365"/>
      <c r="N365"/>
    </row>
    <row r="366" spans="2:14" ht="14" x14ac:dyDescent="0.3">
      <c r="B366" s="5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2:14" ht="14" x14ac:dyDescent="0.3">
      <c r="B367" s="56"/>
      <c r="C367"/>
      <c r="D367"/>
      <c r="E367"/>
      <c r="F367"/>
      <c r="G367"/>
      <c r="H367"/>
      <c r="I367"/>
      <c r="J367"/>
      <c r="K367"/>
      <c r="L367"/>
      <c r="M367"/>
      <c r="N367"/>
    </row>
    <row r="368" spans="2:14" ht="14" x14ac:dyDescent="0.3">
      <c r="B368" s="56"/>
      <c r="C368"/>
      <c r="D368"/>
      <c r="E368"/>
      <c r="F368"/>
      <c r="G368"/>
      <c r="H368"/>
      <c r="I368"/>
      <c r="J368"/>
      <c r="K368"/>
      <c r="L368"/>
      <c r="M368"/>
      <c r="N368"/>
    </row>
    <row r="369" spans="2:14" ht="14" x14ac:dyDescent="0.3">
      <c r="B369" s="56"/>
      <c r="C369"/>
      <c r="D369"/>
      <c r="E369"/>
      <c r="F369"/>
      <c r="G369"/>
      <c r="H369"/>
      <c r="I369"/>
      <c r="J369"/>
      <c r="K369"/>
      <c r="L369"/>
      <c r="M369"/>
      <c r="N369"/>
    </row>
    <row r="370" spans="2:14" ht="14" x14ac:dyDescent="0.3">
      <c r="B370" s="56"/>
      <c r="C370"/>
      <c r="D370"/>
      <c r="E370"/>
      <c r="F370"/>
      <c r="G370"/>
      <c r="H370"/>
      <c r="I370"/>
      <c r="J370"/>
      <c r="K370"/>
      <c r="L370"/>
      <c r="M370"/>
      <c r="N370"/>
    </row>
    <row r="371" spans="2:14" ht="14" x14ac:dyDescent="0.3">
      <c r="B371" s="56"/>
      <c r="C371"/>
      <c r="D371"/>
      <c r="E371"/>
      <c r="F371"/>
      <c r="G371"/>
      <c r="H371"/>
      <c r="I371"/>
      <c r="J371"/>
      <c r="K371"/>
      <c r="L371"/>
      <c r="M371"/>
      <c r="N371"/>
    </row>
    <row r="372" spans="2:14" ht="14" x14ac:dyDescent="0.3">
      <c r="B372" s="56"/>
      <c r="C372"/>
      <c r="D372"/>
      <c r="E372"/>
      <c r="F372"/>
      <c r="G372"/>
      <c r="H372"/>
      <c r="I372"/>
      <c r="J372"/>
      <c r="K372"/>
      <c r="L372"/>
      <c r="M372"/>
      <c r="N372"/>
    </row>
    <row r="373" spans="2:14" ht="14" x14ac:dyDescent="0.3">
      <c r="B373" s="56"/>
      <c r="C373"/>
      <c r="D373"/>
      <c r="E373"/>
      <c r="F373"/>
      <c r="G373"/>
      <c r="H373"/>
      <c r="I373"/>
      <c r="J373"/>
      <c r="K373"/>
      <c r="L373"/>
      <c r="M373"/>
      <c r="N373"/>
    </row>
    <row r="374" spans="2:14" ht="14" x14ac:dyDescent="0.3">
      <c r="B374" s="56"/>
      <c r="C374"/>
      <c r="D374"/>
      <c r="E374"/>
      <c r="F374"/>
      <c r="G374"/>
      <c r="H374"/>
      <c r="I374"/>
      <c r="J374"/>
      <c r="K374"/>
      <c r="L374"/>
      <c r="M374"/>
      <c r="N374"/>
    </row>
    <row r="375" spans="2:14" ht="14" x14ac:dyDescent="0.3">
      <c r="B375" s="56"/>
      <c r="C375"/>
      <c r="D375"/>
      <c r="E375"/>
      <c r="F375"/>
      <c r="G375"/>
      <c r="H375"/>
      <c r="I375"/>
      <c r="J375"/>
      <c r="K375"/>
      <c r="L375"/>
      <c r="M375"/>
      <c r="N375"/>
    </row>
    <row r="376" spans="2:14" ht="14" x14ac:dyDescent="0.3">
      <c r="B376" s="5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2:14" ht="14" x14ac:dyDescent="0.3">
      <c r="B377" s="56"/>
      <c r="C377"/>
      <c r="D377"/>
      <c r="E377"/>
      <c r="F377"/>
      <c r="G377"/>
      <c r="H377"/>
      <c r="I377"/>
      <c r="J377"/>
      <c r="K377"/>
      <c r="L377"/>
      <c r="M377"/>
      <c r="N377"/>
    </row>
    <row r="378" spans="2:14" ht="14" x14ac:dyDescent="0.3">
      <c r="B378" s="56"/>
      <c r="C378"/>
      <c r="D378"/>
      <c r="E378"/>
      <c r="F378"/>
      <c r="G378"/>
      <c r="H378"/>
      <c r="I378"/>
      <c r="J378"/>
      <c r="K378"/>
      <c r="L378"/>
      <c r="M378"/>
      <c r="N378"/>
    </row>
    <row r="379" spans="2:14" ht="14" x14ac:dyDescent="0.3">
      <c r="B379" s="56"/>
      <c r="C379"/>
      <c r="D379"/>
      <c r="E379"/>
      <c r="F379"/>
      <c r="G379"/>
      <c r="H379"/>
      <c r="I379"/>
      <c r="J379"/>
      <c r="K379"/>
      <c r="L379"/>
      <c r="M379"/>
      <c r="N379"/>
    </row>
    <row r="380" spans="2:14" ht="14" x14ac:dyDescent="0.3">
      <c r="B380" s="56"/>
      <c r="C380"/>
      <c r="D380"/>
      <c r="E380"/>
      <c r="F380"/>
      <c r="G380"/>
      <c r="H380"/>
      <c r="I380"/>
      <c r="J380"/>
      <c r="K380"/>
      <c r="L380"/>
      <c r="M380"/>
      <c r="N380"/>
    </row>
    <row r="381" spans="2:14" ht="14" x14ac:dyDescent="0.3">
      <c r="B381" s="56"/>
      <c r="C381"/>
      <c r="D381"/>
      <c r="E381"/>
      <c r="F381"/>
      <c r="G381"/>
      <c r="H381"/>
      <c r="I381"/>
      <c r="J381"/>
      <c r="K381"/>
      <c r="L381"/>
      <c r="M381"/>
      <c r="N381"/>
    </row>
    <row r="382" spans="2:14" ht="14" x14ac:dyDescent="0.3">
      <c r="B382" s="56"/>
      <c r="C382"/>
      <c r="D382"/>
      <c r="E382"/>
      <c r="F382"/>
      <c r="G382"/>
      <c r="H382"/>
      <c r="I382"/>
      <c r="J382"/>
      <c r="K382"/>
      <c r="L382"/>
      <c r="M382"/>
      <c r="N382"/>
    </row>
    <row r="383" spans="2:14" ht="14" x14ac:dyDescent="0.3">
      <c r="B383" s="56"/>
      <c r="C383"/>
      <c r="D383"/>
      <c r="E383"/>
      <c r="F383"/>
      <c r="G383"/>
      <c r="H383"/>
      <c r="I383"/>
      <c r="J383"/>
      <c r="K383"/>
      <c r="L383"/>
      <c r="M383"/>
      <c r="N383"/>
    </row>
    <row r="384" spans="2:14" ht="14" x14ac:dyDescent="0.3">
      <c r="B384" s="56"/>
      <c r="C384"/>
      <c r="D384"/>
      <c r="E384"/>
      <c r="F384"/>
      <c r="G384"/>
      <c r="H384"/>
      <c r="I384"/>
      <c r="J384"/>
      <c r="K384"/>
      <c r="L384"/>
      <c r="M384"/>
      <c r="N384"/>
    </row>
    <row r="385" spans="2:14" ht="14" x14ac:dyDescent="0.3">
      <c r="B385" s="56"/>
      <c r="C385"/>
      <c r="D385"/>
      <c r="E385"/>
      <c r="F385"/>
      <c r="G385"/>
      <c r="H385"/>
      <c r="I385"/>
      <c r="J385"/>
      <c r="K385"/>
      <c r="L385"/>
      <c r="M385"/>
      <c r="N385"/>
    </row>
    <row r="386" spans="2:14" ht="14" x14ac:dyDescent="0.3">
      <c r="B386" s="5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2:14" ht="14" x14ac:dyDescent="0.3">
      <c r="B387" s="56"/>
      <c r="C387"/>
      <c r="D387"/>
      <c r="E387"/>
      <c r="F387"/>
      <c r="G387"/>
      <c r="H387"/>
      <c r="I387"/>
      <c r="J387"/>
      <c r="K387"/>
      <c r="L387"/>
      <c r="M387"/>
      <c r="N387"/>
    </row>
    <row r="388" spans="2:14" ht="14" x14ac:dyDescent="0.3">
      <c r="B388" s="56"/>
      <c r="C388"/>
      <c r="D388"/>
      <c r="E388"/>
      <c r="F388"/>
      <c r="G388"/>
      <c r="H388"/>
      <c r="I388"/>
      <c r="J388"/>
      <c r="K388"/>
      <c r="L388"/>
      <c r="M388"/>
      <c r="N388"/>
    </row>
    <row r="389" spans="2:14" ht="14" x14ac:dyDescent="0.3">
      <c r="B389" s="56"/>
      <c r="C389"/>
      <c r="D389"/>
      <c r="E389"/>
      <c r="F389"/>
      <c r="G389"/>
      <c r="H389"/>
      <c r="I389"/>
      <c r="J389"/>
      <c r="K389"/>
      <c r="L389"/>
      <c r="M389"/>
      <c r="N389"/>
    </row>
    <row r="390" spans="2:14" ht="14" x14ac:dyDescent="0.3">
      <c r="B390" s="56"/>
      <c r="C390"/>
      <c r="D390"/>
      <c r="E390"/>
      <c r="F390"/>
      <c r="G390"/>
      <c r="H390"/>
      <c r="I390"/>
      <c r="J390"/>
      <c r="K390"/>
      <c r="L390"/>
      <c r="M390"/>
      <c r="N390"/>
    </row>
    <row r="391" spans="2:14" ht="14" x14ac:dyDescent="0.3">
      <c r="B391" s="56"/>
      <c r="C391"/>
      <c r="D391"/>
      <c r="E391"/>
      <c r="F391"/>
      <c r="G391"/>
      <c r="H391"/>
      <c r="I391"/>
      <c r="J391"/>
      <c r="K391"/>
      <c r="L391"/>
      <c r="M391"/>
      <c r="N391"/>
    </row>
    <row r="392" spans="2:14" ht="14" x14ac:dyDescent="0.3">
      <c r="B392" s="56"/>
      <c r="C392"/>
      <c r="D392"/>
      <c r="E392"/>
      <c r="F392"/>
      <c r="G392"/>
      <c r="H392"/>
      <c r="I392"/>
      <c r="J392"/>
      <c r="K392"/>
      <c r="L392"/>
      <c r="M392"/>
      <c r="N392"/>
    </row>
    <row r="393" spans="2:14" ht="14" x14ac:dyDescent="0.3">
      <c r="B393" s="56"/>
      <c r="C393"/>
      <c r="D393"/>
      <c r="E393"/>
      <c r="F393"/>
      <c r="G393"/>
      <c r="H393"/>
      <c r="I393"/>
      <c r="J393"/>
      <c r="K393"/>
      <c r="L393"/>
      <c r="M393"/>
      <c r="N393"/>
    </row>
    <row r="394" spans="2:14" ht="14" x14ac:dyDescent="0.3">
      <c r="B394" s="56"/>
      <c r="C394"/>
      <c r="D394"/>
      <c r="E394"/>
      <c r="F394"/>
      <c r="G394"/>
      <c r="H394"/>
      <c r="I394"/>
      <c r="J394"/>
      <c r="K394"/>
      <c r="L394"/>
      <c r="M394"/>
      <c r="N394"/>
    </row>
    <row r="395" spans="2:14" ht="14" x14ac:dyDescent="0.3">
      <c r="B395" s="56"/>
      <c r="C395"/>
      <c r="D395"/>
      <c r="E395"/>
      <c r="F395"/>
      <c r="G395"/>
      <c r="H395"/>
      <c r="I395"/>
      <c r="J395"/>
      <c r="K395"/>
      <c r="L395"/>
      <c r="M395"/>
      <c r="N395"/>
    </row>
    <row r="396" spans="2:14" ht="14" x14ac:dyDescent="0.3">
      <c r="B396" s="5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2:14" ht="14" x14ac:dyDescent="0.3">
      <c r="B397" s="56"/>
      <c r="C397"/>
      <c r="D397"/>
      <c r="E397"/>
      <c r="F397"/>
      <c r="G397"/>
      <c r="H397"/>
      <c r="I397"/>
      <c r="J397"/>
      <c r="K397"/>
      <c r="L397"/>
      <c r="M397"/>
      <c r="N397"/>
    </row>
    <row r="398" spans="2:14" ht="14" x14ac:dyDescent="0.3">
      <c r="B398" s="56"/>
      <c r="C398"/>
      <c r="D398"/>
      <c r="E398"/>
      <c r="F398"/>
      <c r="G398"/>
      <c r="H398"/>
      <c r="I398"/>
      <c r="J398"/>
      <c r="K398"/>
      <c r="L398"/>
      <c r="M398"/>
      <c r="N398"/>
    </row>
    <row r="399" spans="2:14" ht="14" x14ac:dyDescent="0.3">
      <c r="B399" s="56"/>
      <c r="C399"/>
      <c r="D399"/>
      <c r="E399"/>
      <c r="F399"/>
      <c r="G399"/>
      <c r="H399"/>
      <c r="I399"/>
      <c r="J399"/>
      <c r="K399"/>
      <c r="L399"/>
      <c r="M399"/>
      <c r="N399"/>
    </row>
    <row r="400" spans="2:14" ht="14" x14ac:dyDescent="0.3">
      <c r="B400" s="56"/>
      <c r="C400"/>
      <c r="D400"/>
      <c r="E400"/>
      <c r="F400"/>
      <c r="G400"/>
      <c r="H400"/>
      <c r="I400"/>
      <c r="J400"/>
      <c r="K400"/>
      <c r="L400"/>
      <c r="M400"/>
      <c r="N400"/>
    </row>
    <row r="401" spans="2:14" ht="14" x14ac:dyDescent="0.3">
      <c r="B401" s="56"/>
      <c r="C401"/>
      <c r="D401"/>
      <c r="E401"/>
      <c r="F401"/>
      <c r="G401"/>
      <c r="H401"/>
      <c r="I401"/>
      <c r="J401"/>
      <c r="K401"/>
      <c r="L401"/>
      <c r="M401"/>
      <c r="N401"/>
    </row>
    <row r="402" spans="2:14" ht="14" x14ac:dyDescent="0.3">
      <c r="B402" s="56"/>
      <c r="C402"/>
      <c r="D402"/>
      <c r="E402"/>
      <c r="F402"/>
      <c r="G402"/>
      <c r="H402"/>
      <c r="I402"/>
      <c r="J402"/>
      <c r="K402"/>
      <c r="L402"/>
      <c r="M402"/>
      <c r="N402"/>
    </row>
    <row r="403" spans="2:14" ht="14" x14ac:dyDescent="0.3">
      <c r="B403" s="56"/>
      <c r="C403"/>
      <c r="D403"/>
      <c r="E403"/>
      <c r="F403"/>
      <c r="G403"/>
      <c r="H403"/>
      <c r="I403"/>
      <c r="J403"/>
      <c r="K403"/>
      <c r="L403"/>
      <c r="M403"/>
      <c r="N403"/>
    </row>
    <row r="404" spans="2:14" ht="14" x14ac:dyDescent="0.3">
      <c r="B404" s="56"/>
      <c r="C404"/>
      <c r="D404"/>
      <c r="E404"/>
      <c r="F404"/>
      <c r="G404"/>
      <c r="H404"/>
      <c r="I404"/>
      <c r="J404"/>
      <c r="K404"/>
      <c r="L404"/>
      <c r="M404"/>
      <c r="N404"/>
    </row>
    <row r="405" spans="2:14" ht="14" x14ac:dyDescent="0.3">
      <c r="B405" s="56"/>
      <c r="C405"/>
      <c r="D405"/>
      <c r="E405"/>
      <c r="F405"/>
      <c r="G405"/>
      <c r="H405"/>
      <c r="I405"/>
      <c r="J405"/>
      <c r="K405"/>
      <c r="L405"/>
      <c r="M405"/>
      <c r="N405"/>
    </row>
    <row r="406" spans="2:14" ht="14" x14ac:dyDescent="0.3">
      <c r="B406" s="56"/>
      <c r="C406"/>
      <c r="D406"/>
      <c r="E406"/>
      <c r="F406"/>
      <c r="G406"/>
      <c r="H406"/>
      <c r="I406"/>
      <c r="J406"/>
      <c r="K406"/>
      <c r="L406"/>
      <c r="M406"/>
      <c r="N406"/>
    </row>
  </sheetData>
  <mergeCells count="1">
    <mergeCell ref="E3:G3"/>
  </mergeCells>
  <conditionalFormatting sqref="B2">
    <cfRule type="duplicateValues" dxfId="155" priority="1"/>
  </conditionalFormatting>
  <conditionalFormatting sqref="B3:B6">
    <cfRule type="duplicateValues" dxfId="154" priority="3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8385-0BD7-4F97-9E27-301610B59DD2}">
  <dimension ref="A1:AA92"/>
  <sheetViews>
    <sheetView showGridLines="0" workbookViewId="0">
      <selection activeCell="N15" sqref="N15"/>
    </sheetView>
  </sheetViews>
  <sheetFormatPr defaultColWidth="9.08984375" defaultRowHeight="14.5" x14ac:dyDescent="0.35"/>
  <cols>
    <col min="1" max="1" width="2.36328125" style="28" customWidth="1"/>
    <col min="2" max="2" width="33.453125" style="12" bestFit="1" customWidth="1"/>
    <col min="3" max="3" width="8" style="12" hidden="1" customWidth="1"/>
    <col min="4" max="4" width="8" style="12" customWidth="1"/>
    <col min="5" max="5" width="8.453125" style="12" hidden="1" customWidth="1"/>
    <col min="6" max="8" width="8" style="12" hidden="1" customWidth="1"/>
    <col min="9" max="9" width="9.08984375" style="12" hidden="1" customWidth="1"/>
    <col min="10" max="10" width="8" style="12" hidden="1" customWidth="1"/>
    <col min="11" max="11" width="8.90625" style="12" hidden="1" customWidth="1"/>
    <col min="12" max="12" width="8" style="12" hidden="1" customWidth="1"/>
    <col min="13" max="14" width="8" style="12" bestFit="1" customWidth="1"/>
    <col min="15" max="15" width="9" style="12" bestFit="1" customWidth="1"/>
    <col min="16" max="16" width="9.90625" style="12" bestFit="1" customWidth="1"/>
    <col min="17" max="17" width="5" style="12" bestFit="1" customWidth="1"/>
    <col min="18" max="23" width="9.08984375" style="12"/>
    <col min="24" max="24" width="15.36328125" style="12" customWidth="1"/>
    <col min="25" max="16384" width="9.08984375" style="12"/>
  </cols>
  <sheetData>
    <row r="1" spans="2:27" ht="23.5" x14ac:dyDescent="0.55000000000000004">
      <c r="B1" s="63" t="s">
        <v>504</v>
      </c>
      <c r="C1" s="29"/>
      <c r="D1" s="29"/>
      <c r="E1" s="29"/>
      <c r="F1" s="29"/>
      <c r="G1" s="29"/>
      <c r="H1" s="29"/>
      <c r="I1"/>
      <c r="J1"/>
    </row>
    <row r="2" spans="2:27" ht="15" thickBot="1" x14ac:dyDescent="0.4">
      <c r="B2" s="30" t="s">
        <v>633</v>
      </c>
      <c r="C2" s="31"/>
      <c r="D2" s="31"/>
      <c r="E2" s="32" t="s">
        <v>465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2:27" ht="8.25" customHeight="1" x14ac:dyDescent="0.35"/>
    <row r="4" spans="2:27" ht="16.25" customHeight="1" x14ac:dyDescent="0.35">
      <c r="C4" s="132" t="s">
        <v>636</v>
      </c>
      <c r="D4" s="132" t="s">
        <v>636</v>
      </c>
      <c r="E4" s="132"/>
      <c r="F4" s="132"/>
      <c r="G4" s="132"/>
      <c r="H4" s="132"/>
      <c r="I4" s="132"/>
      <c r="J4" s="132"/>
      <c r="K4" s="132"/>
      <c r="L4" s="132"/>
      <c r="M4" s="132"/>
      <c r="N4" s="132" t="s">
        <v>634</v>
      </c>
      <c r="O4" s="172"/>
      <c r="P4" s="172"/>
      <c r="Q4" s="172"/>
      <c r="R4" s="132" t="s">
        <v>634</v>
      </c>
      <c r="S4" s="132" t="s">
        <v>635</v>
      </c>
      <c r="T4" s="132" t="s">
        <v>627</v>
      </c>
      <c r="U4" s="174" t="s">
        <v>628</v>
      </c>
      <c r="V4" s="175"/>
      <c r="W4" s="176"/>
    </row>
    <row r="5" spans="2:27" x14ac:dyDescent="0.35">
      <c r="B5" s="33" t="s">
        <v>466</v>
      </c>
      <c r="C5" s="132">
        <v>45748</v>
      </c>
      <c r="D5" s="132">
        <v>45778</v>
      </c>
      <c r="E5" s="132">
        <v>45809</v>
      </c>
      <c r="F5" s="132">
        <v>45839</v>
      </c>
      <c r="G5" s="132">
        <v>45870</v>
      </c>
      <c r="H5" s="132">
        <v>45901</v>
      </c>
      <c r="I5" s="132">
        <v>45931</v>
      </c>
      <c r="J5" s="132">
        <v>45962</v>
      </c>
      <c r="K5" s="132">
        <v>45992</v>
      </c>
      <c r="L5" s="132">
        <v>46023</v>
      </c>
      <c r="M5" s="132">
        <v>46054</v>
      </c>
      <c r="N5" s="132">
        <v>46082</v>
      </c>
      <c r="O5" s="34" t="s">
        <v>219</v>
      </c>
      <c r="P5" s="34" t="s">
        <v>613</v>
      </c>
      <c r="Q5" s="34" t="s">
        <v>614</v>
      </c>
      <c r="R5" s="132">
        <v>46113</v>
      </c>
      <c r="S5" s="132">
        <v>46143</v>
      </c>
      <c r="T5" s="132">
        <v>46143</v>
      </c>
      <c r="U5" s="132" t="s">
        <v>629</v>
      </c>
      <c r="V5" s="132" t="s">
        <v>630</v>
      </c>
      <c r="W5" s="132" t="s">
        <v>631</v>
      </c>
    </row>
    <row r="6" spans="2:27" x14ac:dyDescent="0.35">
      <c r="B6" s="8" t="s">
        <v>220</v>
      </c>
      <c r="C6" s="137"/>
      <c r="N6" s="137"/>
      <c r="O6" s="95"/>
      <c r="Q6" s="101"/>
      <c r="R6" s="137"/>
      <c r="S6" s="137"/>
      <c r="T6" s="137"/>
      <c r="U6" s="137"/>
      <c r="V6" s="137"/>
      <c r="W6" s="137"/>
    </row>
    <row r="7" spans="2:27" x14ac:dyDescent="0.35">
      <c r="B7" s="12" t="s">
        <v>203</v>
      </c>
      <c r="C7" s="134">
        <f>-SUMIFS(TB_Kochi[Apr],TB_Kochi[MIS_Group1],$B7)/10^5</f>
        <v>1288.0763393999998</v>
      </c>
      <c r="D7" s="39">
        <f>-SUMIFS(TB_Kochi[May],TB_Kochi[MIS_Group1],$B7)/10^5</f>
        <v>1389.0974161999998</v>
      </c>
      <c r="E7" s="39">
        <f>-SUMIFS(TB_Kochi[Jun],TB_Kochi[MIS_Group1],$B7)/10^5</f>
        <v>1242.7086649</v>
      </c>
      <c r="F7" s="39">
        <f>-SUMIFS(TB_Kochi[Jul],TB_Kochi[MIS_Group1],$B7)/10^5</f>
        <v>1443.2514876999999</v>
      </c>
      <c r="G7" s="39">
        <f>-SUMIFS(TB_Kochi[Aug],TB_Kochi[MIS_Group1],$B7)/10^5</f>
        <v>1583.5430343999999</v>
      </c>
      <c r="H7" s="39">
        <f>-SUMIFS(TB_Kochi[Sep],TB_Kochi[MIS_Group1],$B7)/10^5</f>
        <v>1504.9165880999997</v>
      </c>
      <c r="I7" s="39">
        <f>-SUMIFS(TB_Kochi[Oct],TB_Kochi[MIS_Group1],$B7)/10^5</f>
        <v>1553.9566663000001</v>
      </c>
      <c r="J7" s="39">
        <f>-SUMIFS(TB_Kochi[Nov],TB_Kochi[MIS_Group1],$B7)/10^5</f>
        <v>1402.0928557</v>
      </c>
      <c r="K7" s="39">
        <f>-SUMIFS(TB_Kochi[Dec],TB_Kochi[MIS_Group1],$B7)/10^5</f>
        <v>1476.3777783000005</v>
      </c>
      <c r="L7" s="39">
        <f>-SUMIFS(TB_Kochi[Jan],TB_Kochi[MIS_Group1],$B7)/10^5</f>
        <v>1717.1507543999996</v>
      </c>
      <c r="M7" s="39">
        <f>-SUMIFS(TB_Kochi[Feb],TB_Kochi[MIS_Group1],$B7)/10^5</f>
        <v>1569.1111619999999</v>
      </c>
      <c r="N7" s="134">
        <f>-SUMIFS(TB_Kochi[Mar],TB_Kochi[MIS_Group1],$B7)/10^5</f>
        <v>1386.5253668999999</v>
      </c>
      <c r="O7" s="96">
        <f>SUM(C7:N7)</f>
        <v>17556.808114299998</v>
      </c>
      <c r="P7" s="23">
        <v>20170.759981018393</v>
      </c>
      <c r="Q7" s="109"/>
      <c r="R7" s="134">
        <f>-SUMIFS(TB_Kochi[Apr_26],TB_Kochi[MIS_Group1],$B7)/10^5</f>
        <v>1722.3696728</v>
      </c>
      <c r="S7" s="134">
        <f>-SUMIFS(TB_Kochi!AB:AB,TB_Kochi!J:J,$B7)/10^5</f>
        <v>1795.5767523000002</v>
      </c>
      <c r="T7" s="134"/>
      <c r="U7" s="149">
        <f>IFERROR(R7/C7-1,"-")</f>
        <v>0.33716428142939003</v>
      </c>
      <c r="V7" s="149">
        <f>IFERROR(R7/N7-1,"-")</f>
        <v>0.24222009486265828</v>
      </c>
      <c r="W7" s="149" t="str">
        <f>IFERROR(R7/T7,"-")</f>
        <v>-</v>
      </c>
      <c r="X7" s="39">
        <f>S7</f>
        <v>1795.5767523000002</v>
      </c>
    </row>
    <row r="8" spans="2:27" x14ac:dyDescent="0.35">
      <c r="B8" s="12" t="s">
        <v>200</v>
      </c>
      <c r="C8" s="134">
        <f>-SUMIFS(TB_Kochi[Apr],TB_Kochi[MIS_Group1],$B8)/10^5</f>
        <v>961.7987399000001</v>
      </c>
      <c r="D8" s="39">
        <f>-SUMIFS(TB_Kochi[May],TB_Kochi[MIS_Group1],$B8)/10^5</f>
        <v>1131.8385656999999</v>
      </c>
      <c r="E8" s="39">
        <f>-SUMIFS(TB_Kochi[Jun],TB_Kochi[MIS_Group1],$B8)/10^5</f>
        <v>1019.7991387000001</v>
      </c>
      <c r="F8" s="39">
        <f>-SUMIFS(TB_Kochi[Jul],TB_Kochi[MIS_Group1],$B8)/10^5</f>
        <v>1210.5880351999999</v>
      </c>
      <c r="G8" s="39">
        <f>-SUMIFS(TB_Kochi[Aug],TB_Kochi[MIS_Group1],$B8)/10^5</f>
        <v>1170.305186</v>
      </c>
      <c r="H8" s="39">
        <f>-SUMIFS(TB_Kochi[Sep],TB_Kochi[MIS_Group1],$B8)/10^5</f>
        <v>1232.7120375</v>
      </c>
      <c r="I8" s="39">
        <f>-SUMIFS(TB_Kochi[Oct],TB_Kochi[MIS_Group1],$B8)/10^5</f>
        <v>1161.5381526000001</v>
      </c>
      <c r="J8" s="39">
        <f>-SUMIFS(TB_Kochi[Nov],TB_Kochi[MIS_Group1],$B8)/10^5</f>
        <v>1016.0092466</v>
      </c>
      <c r="K8" s="39">
        <f>-SUMIFS(TB_Kochi[Dec],TB_Kochi[MIS_Group1],$B8)/10^5</f>
        <v>1099.5819504000001</v>
      </c>
      <c r="L8" s="39">
        <f>-SUMIFS(TB_Kochi[Jan],TB_Kochi[MIS_Group1],$B8)/10^5</f>
        <v>1265.5350923000001</v>
      </c>
      <c r="M8" s="39">
        <f>-SUMIFS(TB_Kochi[Feb],TB_Kochi[MIS_Group1],$B8)/10^5</f>
        <v>1140.6163153999998</v>
      </c>
      <c r="N8" s="134">
        <f>-SUMIFS(TB_Kochi[Mar],TB_Kochi[MIS_Group1],$B8)/10^5</f>
        <v>1187.3997738</v>
      </c>
      <c r="O8" s="96">
        <f t="shared" ref="O8:O14" si="0">SUM(C8:N8)</f>
        <v>13597.7222341</v>
      </c>
      <c r="P8" s="23">
        <v>15621.668531577636</v>
      </c>
      <c r="Q8" s="109"/>
      <c r="R8" s="134">
        <f>-SUMIFS(TB_Kochi[Apr_26],TB_Kochi[MIS_Group1],$B8)/10^5</f>
        <v>1368.8154004999999</v>
      </c>
      <c r="S8" s="134">
        <f>-SUMIFS(TB_Kochi!AB:AB,TB_Kochi!J:J,$B8)/10^5</f>
        <v>1421.0770839000002</v>
      </c>
      <c r="T8" s="134"/>
      <c r="U8" s="149">
        <f t="shared" ref="U8:U45" si="1">IFERROR(R8/C8-1,"-")</f>
        <v>0.42318277589167774</v>
      </c>
      <c r="V8" s="149">
        <f t="shared" ref="V8:V45" si="2">IFERROR(R8/N8-1,"-")</f>
        <v>0.15278394918286109</v>
      </c>
      <c r="W8" s="149" t="str">
        <f t="shared" ref="W8:W45" si="3">IFERROR(R8/T8,"-")</f>
        <v>-</v>
      </c>
      <c r="X8" s="39">
        <f>S8</f>
        <v>1421.0770839000002</v>
      </c>
    </row>
    <row r="9" spans="2:27" x14ac:dyDescent="0.35">
      <c r="B9" s="12" t="s">
        <v>202</v>
      </c>
      <c r="C9" s="134">
        <f>-SUMIFS(TB_Kochi[Apr],TB_Kochi[MIS_Group1],$B9)/10^5</f>
        <v>625.07839679999995</v>
      </c>
      <c r="D9" s="39">
        <f>-SUMIFS(TB_Kochi[May],TB_Kochi[MIS_Group1],$B9)/10^5</f>
        <v>654.08416920000002</v>
      </c>
      <c r="E9" s="39">
        <f>-SUMIFS(TB_Kochi[Jun],TB_Kochi[MIS_Group1],$B9)/10^5</f>
        <v>601.68523090000008</v>
      </c>
      <c r="F9" s="39">
        <f>-SUMIFS(TB_Kochi[Jul],TB_Kochi[MIS_Group1],$B9)/10^5</f>
        <v>730.50899249999998</v>
      </c>
      <c r="G9" s="39">
        <f>-SUMIFS(TB_Kochi[Aug],TB_Kochi[MIS_Group1],$B9)/10^5</f>
        <v>700.5569109999999</v>
      </c>
      <c r="H9" s="39">
        <f>-SUMIFS(TB_Kochi[Sep],TB_Kochi[MIS_Group1],$B9)/10^5</f>
        <v>686.00636080000004</v>
      </c>
      <c r="I9" s="39">
        <f>-SUMIFS(TB_Kochi[Oct],TB_Kochi[MIS_Group1],$B9)/10^5</f>
        <v>679.96521599999994</v>
      </c>
      <c r="J9" s="39">
        <f>-SUMIFS(TB_Kochi[Nov],TB_Kochi[MIS_Group1],$B9)/10^5</f>
        <v>620.32297399999993</v>
      </c>
      <c r="K9" s="39">
        <f>-SUMIFS(TB_Kochi[Dec],TB_Kochi[MIS_Group1],$B9)/10^5</f>
        <v>639.07219580000003</v>
      </c>
      <c r="L9" s="39">
        <f>-SUMIFS(TB_Kochi[Jan],TB_Kochi[MIS_Group1],$B9)/10^5</f>
        <v>731.91998159999991</v>
      </c>
      <c r="M9" s="39">
        <f>-SUMIFS(TB_Kochi[Feb],TB_Kochi[MIS_Group1],$B9)/10^5</f>
        <v>655.11018179999996</v>
      </c>
      <c r="N9" s="134">
        <f>-SUMIFS(TB_Kochi[Mar],TB_Kochi[MIS_Group1],$B9)/10^5</f>
        <v>607.94325400000002</v>
      </c>
      <c r="O9" s="96">
        <f t="shared" si="0"/>
        <v>7932.2538643999987</v>
      </c>
      <c r="P9" s="23">
        <v>7962.6051800909154</v>
      </c>
      <c r="Q9" s="109"/>
      <c r="R9" s="134">
        <f>-SUMIFS(TB_Kochi[Apr_26],TB_Kochi[MIS_Group1],$B9)/10^5</f>
        <v>621.77162629999998</v>
      </c>
      <c r="S9" s="134">
        <f>-SUMIFS(TB_Kochi!AB:AB,TB_Kochi!J:J,$B9)/10^5</f>
        <v>670.49782019999998</v>
      </c>
      <c r="T9" s="134"/>
      <c r="U9" s="149">
        <f t="shared" si="1"/>
        <v>-5.2901692282576462E-3</v>
      </c>
      <c r="V9" s="149">
        <f t="shared" si="2"/>
        <v>2.274615633780841E-2</v>
      </c>
      <c r="W9" s="149" t="str">
        <f t="shared" si="3"/>
        <v>-</v>
      </c>
      <c r="X9" s="13">
        <f>S9+PL_Calicut!S7</f>
        <v>681.16853800000001</v>
      </c>
    </row>
    <row r="10" spans="2:27" x14ac:dyDescent="0.35">
      <c r="B10" s="12" t="s">
        <v>201</v>
      </c>
      <c r="C10" s="134">
        <f>-SUMIFS(TB_Kochi[Apr],TB_Kochi[MIS_Group1],$B10)/10^5</f>
        <v>305.03794149999999</v>
      </c>
      <c r="D10" s="39">
        <f>-SUMIFS(TB_Kochi[May],TB_Kochi[MIS_Group1],$B10)/10^5</f>
        <v>330.01320099999998</v>
      </c>
      <c r="E10" s="39">
        <f>-SUMIFS(TB_Kochi[Jun],TB_Kochi[MIS_Group1],$B10)/10^5</f>
        <v>283.5011366</v>
      </c>
      <c r="F10" s="39">
        <f>-SUMIFS(TB_Kochi[Jul],TB_Kochi[MIS_Group1],$B10)/10^5</f>
        <v>329.51463589999997</v>
      </c>
      <c r="G10" s="39">
        <f>-SUMIFS(TB_Kochi[Aug],TB_Kochi[MIS_Group1],$B10)/10^5</f>
        <v>367.53427569999991</v>
      </c>
      <c r="H10" s="39">
        <f>-SUMIFS(TB_Kochi[Sep],TB_Kochi[MIS_Group1],$B10)/10^5</f>
        <v>324.20880600000004</v>
      </c>
      <c r="I10" s="39">
        <f>-SUMIFS(TB_Kochi[Oct],TB_Kochi[MIS_Group1],$B10)/10^5</f>
        <v>327.5229999</v>
      </c>
      <c r="J10" s="39">
        <f>-SUMIFS(TB_Kochi[Nov],TB_Kochi[MIS_Group1],$B10)/10^5</f>
        <v>289.55930080000002</v>
      </c>
      <c r="K10" s="39">
        <f>-SUMIFS(TB_Kochi[Dec],TB_Kochi[MIS_Group1],$B10)/10^5</f>
        <v>318.32859259999998</v>
      </c>
      <c r="L10" s="39">
        <f>-SUMIFS(TB_Kochi[Jan],TB_Kochi[MIS_Group1],$B10)/10^5</f>
        <v>350.44438539999993</v>
      </c>
      <c r="M10" s="39">
        <f>-SUMIFS(TB_Kochi[Feb],TB_Kochi[MIS_Group1],$B10)/10^5</f>
        <v>312.68580429999997</v>
      </c>
      <c r="N10" s="134">
        <f>-SUMIFS(TB_Kochi[Mar],TB_Kochi[MIS_Group1],$B10)/10^5</f>
        <v>327.14018150000004</v>
      </c>
      <c r="O10" s="96">
        <f t="shared" si="0"/>
        <v>3865.4912611999998</v>
      </c>
      <c r="P10" s="23">
        <v>3844.6808844780053</v>
      </c>
      <c r="Q10" s="109"/>
      <c r="R10" s="134">
        <f>-SUMIFS(TB_Kochi[Apr_26],TB_Kochi[MIS_Group1],$B10)/10^5</f>
        <v>327.2046848</v>
      </c>
      <c r="S10" s="134">
        <f>-SUMIFS(TB_Kochi!AB:AB,TB_Kochi!J:J,$B10)/10^5</f>
        <v>326.89187529999992</v>
      </c>
      <c r="T10" s="134"/>
      <c r="U10" s="149">
        <f t="shared" si="1"/>
        <v>7.266880700478362E-2</v>
      </c>
      <c r="V10" s="149">
        <f t="shared" si="2"/>
        <v>1.9717327203339075E-4</v>
      </c>
      <c r="W10" s="149" t="str">
        <f t="shared" si="3"/>
        <v>-</v>
      </c>
      <c r="X10" s="13">
        <f>S10+PL_Calicut!S8</f>
        <v>343.2551418999999</v>
      </c>
    </row>
    <row r="11" spans="2:27" x14ac:dyDescent="0.35">
      <c r="B11" s="12" t="s">
        <v>221</v>
      </c>
      <c r="C11" s="134">
        <f>-SUMIFS(TB_Kochi[Apr],TB_Kochi[MIS_Group1],$B11)/10^5</f>
        <v>0</v>
      </c>
      <c r="D11" s="39">
        <f>-SUMIFS(TB_Kochi[May],TB_Kochi[MIS_Group1],$B11)/10^5</f>
        <v>0</v>
      </c>
      <c r="E11" s="39">
        <f>-SUMIFS(TB_Kochi[Jun],TB_Kochi[MIS_Group1],$B11)/10^5</f>
        <v>0</v>
      </c>
      <c r="F11" s="39">
        <f>-SUMIFS(TB_Kochi[Jul],TB_Kochi[MIS_Group1],$B11)/10^5</f>
        <v>0</v>
      </c>
      <c r="G11" s="39">
        <f>-SUMIFS(TB_Kochi[Aug],TB_Kochi[MIS_Group1],$B11)/10^5</f>
        <v>0</v>
      </c>
      <c r="H11" s="39">
        <f>-SUMIFS(TB_Kochi[Sep],TB_Kochi[MIS_Group1],$B11)/10^5</f>
        <v>0</v>
      </c>
      <c r="I11" s="39">
        <f>-SUMIFS(TB_Kochi[Oct],TB_Kochi[MIS_Group1],$B11)/10^5</f>
        <v>0</v>
      </c>
      <c r="J11" s="39">
        <f>-SUMIFS(TB_Kochi[Nov],TB_Kochi[MIS_Group1],$B11)/10^5</f>
        <v>0</v>
      </c>
      <c r="K11" s="39">
        <f>-SUMIFS(TB_Kochi[Dec],TB_Kochi[MIS_Group1],$B11)/10^5</f>
        <v>0</v>
      </c>
      <c r="L11" s="39">
        <f>-SUMIFS(TB_Kochi[Jan],TB_Kochi[MIS_Group1],$B11)/10^5</f>
        <v>0</v>
      </c>
      <c r="M11" s="39">
        <f>-SUMIFS(TB_Kochi[Feb],TB_Kochi[MIS_Group1],$B11)/10^5</f>
        <v>0</v>
      </c>
      <c r="N11" s="134">
        <f>-SUMIFS(TB_Kochi[Mar],TB_Kochi[MIS_Group1],$B11)/10^5</f>
        <v>0</v>
      </c>
      <c r="O11" s="96">
        <f t="shared" si="0"/>
        <v>0</v>
      </c>
      <c r="P11" s="23">
        <v>0</v>
      </c>
      <c r="Q11" s="109"/>
      <c r="R11" s="134">
        <f>-SUMIFS(TB_Kochi[Apr_26],TB_Kochi[MIS_Group1],$B11)/10^5</f>
        <v>0</v>
      </c>
      <c r="S11" s="134">
        <f>-SUMIFS(TB_Kochi!AB:AB,TB_Kochi!J:J,$B11)/10^5</f>
        <v>0</v>
      </c>
      <c r="T11" s="134"/>
      <c r="U11" s="149" t="str">
        <f t="shared" si="1"/>
        <v>-</v>
      </c>
      <c r="V11" s="149" t="str">
        <f t="shared" si="2"/>
        <v>-</v>
      </c>
      <c r="W11" s="149" t="str">
        <f t="shared" si="3"/>
        <v>-</v>
      </c>
    </row>
    <row r="12" spans="2:27" x14ac:dyDescent="0.35">
      <c r="B12" s="12" t="s">
        <v>261</v>
      </c>
      <c r="C12" s="134">
        <f>-SUMIFS(TB_Kochi[Apr],TB_Kochi[MIS_Group1],$B12)/10^5</f>
        <v>0</v>
      </c>
      <c r="D12" s="39">
        <f>-SUMIFS(TB_Kochi[May],TB_Kochi[MIS_Group1],$B12)/10^5</f>
        <v>0</v>
      </c>
      <c r="E12" s="39">
        <f>-SUMIFS(TB_Kochi[Jun],TB_Kochi[MIS_Group1],$B12)/10^5</f>
        <v>0</v>
      </c>
      <c r="F12" s="39">
        <f>-SUMIFS(TB_Kochi[Jul],TB_Kochi[MIS_Group1],$B12)/10^5</f>
        <v>1.3045</v>
      </c>
      <c r="G12" s="39">
        <f>-SUMIFS(TB_Kochi[Aug],TB_Kochi[MIS_Group1],$B12)/10^5</f>
        <v>1.9655</v>
      </c>
      <c r="H12" s="39">
        <f>-SUMIFS(TB_Kochi[Sep],TB_Kochi[MIS_Group1],$B12)/10^5</f>
        <v>0.28100000000000003</v>
      </c>
      <c r="I12" s="39">
        <f>-SUMIFS(TB_Kochi[Oct],TB_Kochi[MIS_Group1],$B12)/10^5</f>
        <v>0.49</v>
      </c>
      <c r="J12" s="39">
        <f>-SUMIFS(TB_Kochi[Nov],TB_Kochi[MIS_Group1],$B12)/10^5</f>
        <v>0.41499999999999998</v>
      </c>
      <c r="K12" s="39">
        <f>-SUMIFS(TB_Kochi[Dec],TB_Kochi[MIS_Group1],$B12)/10^5</f>
        <v>0.46899999999999997</v>
      </c>
      <c r="L12" s="39">
        <f>-SUMIFS(TB_Kochi[Jan],TB_Kochi[MIS_Group1],$B12)/10^5</f>
        <v>0.23799999999999999</v>
      </c>
      <c r="M12" s="39">
        <f>-SUMIFS(TB_Kochi[Feb],TB_Kochi[MIS_Group1],$B12)/10^5</f>
        <v>0.23623</v>
      </c>
      <c r="N12" s="134">
        <f>-SUMIFS(TB_Kochi[Mar],TB_Kochi[MIS_Group1],$B12)/10^5</f>
        <v>0.624</v>
      </c>
      <c r="O12" s="96">
        <f t="shared" si="0"/>
        <v>6.0232299999999999</v>
      </c>
      <c r="P12" s="23">
        <v>0</v>
      </c>
      <c r="Q12" s="109"/>
      <c r="R12" s="134">
        <f>-SUMIFS(TB_Kochi[Apr_26],TB_Kochi[MIS_Group1],$B12)/10^5</f>
        <v>6.1499999999999999E-2</v>
      </c>
      <c r="S12" s="134">
        <f>-SUMIFS(TB_Kochi!AB:AB,TB_Kochi!J:J,$B12)/10^5</f>
        <v>0.15</v>
      </c>
      <c r="T12" s="134"/>
      <c r="U12" s="149" t="str">
        <f t="shared" si="1"/>
        <v>-</v>
      </c>
      <c r="V12" s="149">
        <f t="shared" si="2"/>
        <v>-0.90144230769230771</v>
      </c>
      <c r="W12" s="149" t="str">
        <f t="shared" si="3"/>
        <v>-</v>
      </c>
      <c r="X12" s="39">
        <f>S12</f>
        <v>0.15</v>
      </c>
    </row>
    <row r="13" spans="2:27" x14ac:dyDescent="0.35">
      <c r="B13" s="8" t="s">
        <v>329</v>
      </c>
      <c r="C13" s="135">
        <f>SUM(C7:C12)</f>
        <v>3179.9914176000002</v>
      </c>
      <c r="D13" s="40">
        <f t="shared" ref="D13:P13" si="4">SUM(D7:D12)</f>
        <v>3505.0333520999993</v>
      </c>
      <c r="E13" s="40">
        <f t="shared" si="4"/>
        <v>3147.6941710999999</v>
      </c>
      <c r="F13" s="40">
        <f t="shared" si="4"/>
        <v>3715.1676513000002</v>
      </c>
      <c r="G13" s="40">
        <f t="shared" si="4"/>
        <v>3823.9049070999995</v>
      </c>
      <c r="H13" s="40">
        <f t="shared" si="4"/>
        <v>3748.1247923999995</v>
      </c>
      <c r="I13" s="40">
        <f t="shared" si="4"/>
        <v>3723.4730347999998</v>
      </c>
      <c r="J13" s="40">
        <f t="shared" si="4"/>
        <v>3328.3993771</v>
      </c>
      <c r="K13" s="40">
        <f t="shared" si="4"/>
        <v>3533.8295171000004</v>
      </c>
      <c r="L13" s="40">
        <f>SUM(L7:L12)</f>
        <v>4065.2882136999997</v>
      </c>
      <c r="M13" s="40">
        <f>SUM(M7:M12)</f>
        <v>3677.7596934999997</v>
      </c>
      <c r="N13" s="135">
        <f>SUM(N7:N12)</f>
        <v>3509.6325761999997</v>
      </c>
      <c r="O13" s="96">
        <f t="shared" si="4"/>
        <v>42958.298703999993</v>
      </c>
      <c r="P13" s="40">
        <f t="shared" si="4"/>
        <v>47599.714577164952</v>
      </c>
      <c r="Q13" s="109"/>
      <c r="R13" s="135">
        <f>SUM(R7:R12)</f>
        <v>4040.2228844000001</v>
      </c>
      <c r="S13" s="135">
        <f>SUM(S7:S12)</f>
        <v>4214.1935316999998</v>
      </c>
      <c r="T13" s="135">
        <f>SUM(T7:T12)</f>
        <v>0</v>
      </c>
      <c r="U13" s="153">
        <f t="shared" si="1"/>
        <v>0.27051376995515075</v>
      </c>
      <c r="V13" s="153">
        <f t="shared" si="2"/>
        <v>0.1511811554856517</v>
      </c>
      <c r="W13" s="153" t="str">
        <f t="shared" si="3"/>
        <v>-</v>
      </c>
      <c r="X13" s="62">
        <f>PL_FNB!S7</f>
        <v>167.08431420000002</v>
      </c>
    </row>
    <row r="14" spans="2:27" x14ac:dyDescent="0.35">
      <c r="B14" s="12" t="s">
        <v>222</v>
      </c>
      <c r="C14" s="134">
        <f>-SUMIFS(TB_Kochi[Apr],TB_Kochi[MIS_Group1],$B14)/10^5</f>
        <v>22.0169909</v>
      </c>
      <c r="D14" s="39">
        <f>-SUMIFS(TB_Kochi[May],TB_Kochi[MIS_Group1],$B14)/10^5</f>
        <v>69.422454000000002</v>
      </c>
      <c r="E14" s="39">
        <f>-SUMIFS(TB_Kochi[Jun],TB_Kochi[MIS_Group1],$B14)/10^5</f>
        <v>62.766434200000006</v>
      </c>
      <c r="F14" s="39">
        <f>-SUMIFS(TB_Kochi[Jul],TB_Kochi[MIS_Group1],$B14)/10^5</f>
        <v>14.721824199999999</v>
      </c>
      <c r="G14" s="39">
        <f>-SUMIFS(TB_Kochi[Aug],TB_Kochi[MIS_Group1],$B14)/10^5</f>
        <v>21.990641399999998</v>
      </c>
      <c r="H14" s="39">
        <f>-SUMIFS(TB_Kochi[Sep],TB_Kochi[MIS_Group1],$B14)/10^5</f>
        <v>25.248848899999995</v>
      </c>
      <c r="I14" s="39">
        <f>-SUMIFS(TB_Kochi[Oct],TB_Kochi[MIS_Group1],$B14)/10^5</f>
        <v>42.587688399999998</v>
      </c>
      <c r="J14" s="39">
        <f>-SUMIFS(TB_Kochi[Nov],TB_Kochi[MIS_Group1],$B14)/10^5</f>
        <v>29.415118399999997</v>
      </c>
      <c r="K14" s="39">
        <f>-SUMIFS(TB_Kochi[Dec],TB_Kochi[MIS_Group1],$B14)/10^5</f>
        <v>13.1642957</v>
      </c>
      <c r="L14" s="39">
        <f>-SUMIFS(TB_Kochi[Jan],TB_Kochi[MIS_Group1],$B14)/10^5</f>
        <v>50.157904299999998</v>
      </c>
      <c r="M14" s="39">
        <f>-SUMIFS(TB_Kochi[Feb],TB_Kochi[MIS_Group1],$B14)/10^5</f>
        <v>207.81616559999998</v>
      </c>
      <c r="N14" s="134">
        <f>-SUMIFS(TB_Kochi[Mar],TB_Kochi[MIS_Group1],$B14)/10^5</f>
        <v>352.79042619999996</v>
      </c>
      <c r="O14" s="96">
        <f t="shared" si="0"/>
        <v>912.09879219999993</v>
      </c>
      <c r="P14" s="23">
        <v>493.88161909522518</v>
      </c>
      <c r="Q14" s="109"/>
      <c r="R14" s="134">
        <f>-SUMIFS(TB_Kochi[Apr_26],TB_Kochi[MIS_Group1],$B14)/10^5</f>
        <v>49.058138100000008</v>
      </c>
      <c r="S14" s="134">
        <f>-SUMIFS(TB_Kochi!AB:AB,TB_Kochi!J:J,$B14)/10^5</f>
        <v>17.4269529</v>
      </c>
      <c r="T14" s="134"/>
      <c r="U14" s="149">
        <f t="shared" si="1"/>
        <v>1.2281945031825403</v>
      </c>
      <c r="V14" s="149">
        <f t="shared" si="2"/>
        <v>-0.86094254702878892</v>
      </c>
      <c r="W14" s="149" t="str">
        <f t="shared" si="3"/>
        <v>-</v>
      </c>
      <c r="X14" s="13">
        <f>S14+PL_Calicut!S10+PL_FNB!S8</f>
        <v>17.637612900000001</v>
      </c>
      <c r="Z14" s="13">
        <f>S15+PL_Calicut!S11+PL_FNB!S9</f>
        <v>4425.9494432000001</v>
      </c>
      <c r="AA14" s="13">
        <f>Z14-PL_Consol!T15</f>
        <v>0</v>
      </c>
    </row>
    <row r="15" spans="2:27" x14ac:dyDescent="0.35">
      <c r="B15" s="26" t="s">
        <v>223</v>
      </c>
      <c r="C15" s="124">
        <f>C13+C14</f>
        <v>3202.0084085000003</v>
      </c>
      <c r="D15" s="41">
        <f t="shared" ref="D15:P15" si="5">D13+D14</f>
        <v>3574.4558060999993</v>
      </c>
      <c r="E15" s="41">
        <f t="shared" si="5"/>
        <v>3210.4606052999998</v>
      </c>
      <c r="F15" s="41">
        <f t="shared" si="5"/>
        <v>3729.8894755000001</v>
      </c>
      <c r="G15" s="41">
        <f t="shared" si="5"/>
        <v>3845.8955484999997</v>
      </c>
      <c r="H15" s="41">
        <f t="shared" si="5"/>
        <v>3773.3736412999997</v>
      </c>
      <c r="I15" s="41">
        <f t="shared" si="5"/>
        <v>3766.0607231999998</v>
      </c>
      <c r="J15" s="41">
        <f t="shared" si="5"/>
        <v>3357.8144955000002</v>
      </c>
      <c r="K15" s="41">
        <f t="shared" si="5"/>
        <v>3546.9938128000003</v>
      </c>
      <c r="L15" s="41">
        <f>L13+L14</f>
        <v>4115.4461179999998</v>
      </c>
      <c r="M15" s="41">
        <f>M13+M14</f>
        <v>3885.5758590999994</v>
      </c>
      <c r="N15" s="124">
        <f>N13+N14</f>
        <v>3862.4230023999999</v>
      </c>
      <c r="O15" s="41">
        <f t="shared" si="5"/>
        <v>43870.397496199992</v>
      </c>
      <c r="P15" s="41">
        <f t="shared" si="5"/>
        <v>48093.59619626018</v>
      </c>
      <c r="Q15" s="109"/>
      <c r="R15" s="124">
        <f>R13+R14</f>
        <v>4089.2810225000003</v>
      </c>
      <c r="S15" s="124">
        <f>S13+S14</f>
        <v>4231.6204846000001</v>
      </c>
      <c r="T15" s="124">
        <f>T13+T14</f>
        <v>0</v>
      </c>
      <c r="U15" s="156">
        <f t="shared" si="1"/>
        <v>0.27709877701902985</v>
      </c>
      <c r="V15" s="156">
        <f t="shared" si="2"/>
        <v>5.8734638841742015E-2</v>
      </c>
      <c r="W15" s="156" t="str">
        <f t="shared" si="3"/>
        <v>-</v>
      </c>
      <c r="X15" s="13">
        <f>S15+PL_Calicut!S11+PL_FNB!S9</f>
        <v>4425.9494432000001</v>
      </c>
    </row>
    <row r="16" spans="2:27" ht="6" customHeight="1" x14ac:dyDescent="0.35">
      <c r="C16" s="134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134"/>
      <c r="O16" s="96"/>
      <c r="P16" s="23">
        <f>SUMIFS(PL_Consol!Q:Q,PL_Consol!B:B,PL_Kochi!B16)-SUMIFS(PL_Calicut!P:P,PL_Calicut!B:B,PL_Kochi!B16)-SUMIFS(PL_FNB!P:P,PL_FNB!B:B,PL_Kochi!B16)</f>
        <v>0</v>
      </c>
      <c r="Q16" s="109"/>
      <c r="R16" s="134"/>
      <c r="S16" s="134"/>
      <c r="T16" s="134"/>
      <c r="U16" s="149" t="str">
        <f t="shared" si="1"/>
        <v>-</v>
      </c>
      <c r="V16" s="149" t="str">
        <f t="shared" si="2"/>
        <v>-</v>
      </c>
      <c r="W16" s="149" t="str">
        <f t="shared" si="3"/>
        <v>-</v>
      </c>
    </row>
    <row r="17" spans="2:23" x14ac:dyDescent="0.35">
      <c r="B17" s="12" t="s">
        <v>268</v>
      </c>
      <c r="C17" s="134">
        <f>SUMIFS(TB_Kochi[Apr],TB_Kochi[MIS_Group1],$B17)/10^5</f>
        <v>778.88535129686295</v>
      </c>
      <c r="D17" s="39">
        <f>SUMIFS(TB_Kochi[May],TB_Kochi[MIS_Group1],$B17)/10^5</f>
        <v>1057.039007590299</v>
      </c>
      <c r="E17" s="39">
        <f>SUMIFS(TB_Kochi[Jun],TB_Kochi[MIS_Group1],$B17)/10^5</f>
        <v>1034.0926093403502</v>
      </c>
      <c r="F17" s="39">
        <f>SUMIFS(TB_Kochi[Jul],TB_Kochi[MIS_Group1],$B17)/10^5</f>
        <v>1181.833657245</v>
      </c>
      <c r="G17" s="39">
        <f>SUMIFS(TB_Kochi[Aug],TB_Kochi[MIS_Group1],$B17)/10^5</f>
        <v>1121.2558154600001</v>
      </c>
      <c r="H17" s="39">
        <f>SUMIFS(TB_Kochi[Sep],TB_Kochi[MIS_Group1],$B17)/10^5</f>
        <v>1068.9227905799999</v>
      </c>
      <c r="I17" s="39">
        <f>SUMIFS(TB_Kochi[Oct],TB_Kochi[MIS_Group1],$B17)/10^5</f>
        <v>1131.1619059099999</v>
      </c>
      <c r="J17" s="39">
        <f>SUMIFS(TB_Kochi[Nov],TB_Kochi[MIS_Group1],$B17)/10^5</f>
        <v>988.28381942999988</v>
      </c>
      <c r="K17" s="39">
        <f>SUMIFS(TB_Kochi[Dec],TB_Kochi[MIS_Group1],$B17)/10^5</f>
        <v>1050.6063426400001</v>
      </c>
      <c r="L17" s="39">
        <f>SUMIFS(TB_Kochi[Jan],TB_Kochi[MIS_Group1],$B17)/10^5</f>
        <v>1141.1298906899997</v>
      </c>
      <c r="M17" s="39">
        <f>SUMIFS(TB_Kochi[Feb],TB_Kochi[MIS_Group1],$B17)/10^5</f>
        <v>1074.4555623599999</v>
      </c>
      <c r="N17" s="134">
        <f>SUMIFS(TB_Kochi[Mar],TB_Kochi[MIS_Group1],$B17)/10^5</f>
        <v>955.74061990999996</v>
      </c>
      <c r="O17" s="96">
        <f>SUM(C17:N17)</f>
        <v>12583.407372452511</v>
      </c>
      <c r="P17" s="23">
        <v>12704.328224493513</v>
      </c>
      <c r="Q17" s="109"/>
      <c r="R17" s="134">
        <f>SUMIFS(TB_Kochi[Apr_26],TB_Kochi[MIS_Group1],$B17)/10^5</f>
        <v>1133.8734923899999</v>
      </c>
      <c r="S17" s="134">
        <f>SUMIFS(TB_Kochi!AB:AB,TB_Kochi!J:J,$B17)/10^5</f>
        <v>1218.4473137700002</v>
      </c>
      <c r="T17" s="134"/>
      <c r="U17" s="149">
        <f t="shared" si="1"/>
        <v>0.45576430536544699</v>
      </c>
      <c r="V17" s="149">
        <f t="shared" si="2"/>
        <v>0.18638202538338722</v>
      </c>
      <c r="W17" s="149" t="str">
        <f t="shared" si="3"/>
        <v>-</v>
      </c>
    </row>
    <row r="18" spans="2:23" x14ac:dyDescent="0.35">
      <c r="B18" s="12" t="s">
        <v>205</v>
      </c>
      <c r="C18" s="134">
        <f>SUMIFS(TB_Kochi[Apr],TB_Kochi[MIS_Group1],$B18)/10^5</f>
        <v>614.33411999999998</v>
      </c>
      <c r="D18" s="39">
        <f>SUMIFS(TB_Kochi[May],TB_Kochi[MIS_Group1],$B18)/10^5</f>
        <v>622.20414000000005</v>
      </c>
      <c r="E18" s="39">
        <f>SUMIFS(TB_Kochi[Jun],TB_Kochi[MIS_Group1],$B18)/10^5</f>
        <v>605.03751</v>
      </c>
      <c r="F18" s="39">
        <f>SUMIFS(TB_Kochi[Jul],TB_Kochi[MIS_Group1],$B18)/10^5</f>
        <v>659.41216999999995</v>
      </c>
      <c r="G18" s="39">
        <f>SUMIFS(TB_Kochi[Aug],TB_Kochi[MIS_Group1],$B18)/10^5</f>
        <v>660.74375999999995</v>
      </c>
      <c r="H18" s="39">
        <f>SUMIFS(TB_Kochi[Sep],TB_Kochi[MIS_Group1],$B18)/10^5</f>
        <v>664.49548000000004</v>
      </c>
      <c r="I18" s="39">
        <f>SUMIFS(TB_Kochi[Oct],TB_Kochi[MIS_Group1],$B18)/10^5</f>
        <v>643.06908999999996</v>
      </c>
      <c r="J18" s="39">
        <f>SUMIFS(TB_Kochi[Nov],TB_Kochi[MIS_Group1],$B18)/10^5</f>
        <v>651.05652999999995</v>
      </c>
      <c r="K18" s="39">
        <f>SUMIFS(TB_Kochi[Dec],TB_Kochi[MIS_Group1],$B18)/10^5</f>
        <v>678.18344000000002</v>
      </c>
      <c r="L18" s="39">
        <f>SUMIFS(TB_Kochi[Jan],TB_Kochi[MIS_Group1],$B18)/10^5</f>
        <v>689.85883999999999</v>
      </c>
      <c r="M18" s="39">
        <f>SUMIFS(TB_Kochi[Feb],TB_Kochi[MIS_Group1],$B18)/10^5</f>
        <v>672.48623999999995</v>
      </c>
      <c r="N18" s="134">
        <f>SUMIFS(TB_Kochi[Mar],TB_Kochi[MIS_Group1],$B18)/10^5</f>
        <v>688.78895999999997</v>
      </c>
      <c r="O18" s="96">
        <f t="shared" ref="O18:O36" si="6">SUM(C18:N18)</f>
        <v>7849.6702799999994</v>
      </c>
      <c r="P18" s="23">
        <v>9630.1399595616003</v>
      </c>
      <c r="Q18" s="109"/>
      <c r="R18" s="134">
        <f>SUMIFS(TB_Kochi[Apr_26],TB_Kochi[MIS_Group1],$B18)/10^5</f>
        <v>704.08974000000001</v>
      </c>
      <c r="S18" s="134">
        <f>SUMIFS(TB_Kochi!AB:AB,TB_Kochi!J:J,$B18)/10^5</f>
        <v>679.24982999999997</v>
      </c>
      <c r="T18" s="134"/>
      <c r="U18" s="149">
        <f t="shared" si="1"/>
        <v>0.14610228713977347</v>
      </c>
      <c r="V18" s="149">
        <f t="shared" si="2"/>
        <v>2.2214032001906636E-2</v>
      </c>
      <c r="W18" s="149" t="str">
        <f t="shared" si="3"/>
        <v>-</v>
      </c>
    </row>
    <row r="19" spans="2:23" x14ac:dyDescent="0.35">
      <c r="B19" s="12" t="s">
        <v>272</v>
      </c>
      <c r="C19" s="134">
        <f>SUMIFS(TB_Kochi[Apr],TB_Kochi[MIS_Group1],$B19)/10^5</f>
        <v>530.1657582073359</v>
      </c>
      <c r="D19" s="39">
        <f>SUMIFS(TB_Kochi[May],TB_Kochi[MIS_Group1],$B19)/10^5</f>
        <v>602.84981860733592</v>
      </c>
      <c r="E19" s="39">
        <f>SUMIFS(TB_Kochi[Jun],TB_Kochi[MIS_Group1],$B19)/10^5</f>
        <v>592.35521090733596</v>
      </c>
      <c r="F19" s="39">
        <f>SUMIFS(TB_Kochi[Jul],TB_Kochi[MIS_Group1],$B19)/10^5</f>
        <v>602.80903320733591</v>
      </c>
      <c r="G19" s="39">
        <f>SUMIFS(TB_Kochi[Aug],TB_Kochi[MIS_Group1],$B19)/10^5</f>
        <v>597.06982990733593</v>
      </c>
      <c r="H19" s="39">
        <f>SUMIFS(TB_Kochi[Sep],TB_Kochi[MIS_Group1],$B19)/10^5</f>
        <v>656.45016820733588</v>
      </c>
      <c r="I19" s="39">
        <f>SUMIFS(TB_Kochi[Oct],TB_Kochi[MIS_Group1],$B19)/10^5</f>
        <v>618.38475330733593</v>
      </c>
      <c r="J19" s="39">
        <f>SUMIFS(TB_Kochi[Nov],TB_Kochi[MIS_Group1],$B19)/10^5</f>
        <v>570.37166740733596</v>
      </c>
      <c r="K19" s="39">
        <f>SUMIFS(TB_Kochi[Dec],TB_Kochi[MIS_Group1],$B19)/10^5</f>
        <v>595.73766620733591</v>
      </c>
      <c r="L19" s="39">
        <f>SUMIFS(TB_Kochi[Jan],TB_Kochi[MIS_Group1],$B19)/10^5</f>
        <v>583.65839260733594</v>
      </c>
      <c r="M19" s="39">
        <f>SUMIFS(TB_Kochi[Feb],TB_Kochi[MIS_Group1],$B19)/10^5</f>
        <v>616.82495400733592</v>
      </c>
      <c r="N19" s="134">
        <f>SUMIFS(TB_Kochi[Mar],TB_Kochi[MIS_Group1],$B19)/10^5</f>
        <v>642.41282540733596</v>
      </c>
      <c r="O19" s="96">
        <f t="shared" si="6"/>
        <v>7209.0900779880312</v>
      </c>
      <c r="P19" s="23">
        <v>9793.1600895544943</v>
      </c>
      <c r="Q19" s="109"/>
      <c r="R19" s="134">
        <f>SUMIFS(TB_Kochi[Apr_26],TB_Kochi[MIS_Group1],$B19)/10^5</f>
        <v>631.91866420733595</v>
      </c>
      <c r="S19" s="134">
        <f>SUMIFS(TB_Kochi!AB:AB,TB_Kochi!J:J,$B19)/10^5</f>
        <v>634.51068200733584</v>
      </c>
      <c r="T19" s="134"/>
      <c r="U19" s="149">
        <f t="shared" si="1"/>
        <v>0.1919265897972362</v>
      </c>
      <c r="V19" s="149">
        <f t="shared" si="2"/>
        <v>-1.6335541236036089E-2</v>
      </c>
      <c r="W19" s="149" t="str">
        <f t="shared" si="3"/>
        <v>-</v>
      </c>
    </row>
    <row r="20" spans="2:23" x14ac:dyDescent="0.35">
      <c r="B20" s="12" t="s">
        <v>206</v>
      </c>
      <c r="C20" s="134">
        <f>SUMIFS(TB_Kochi[Apr],TB_Kochi[MIS_Group1],$B20)/10^5</f>
        <v>16.780370000000001</v>
      </c>
      <c r="D20" s="39">
        <f>SUMIFS(TB_Kochi[May],TB_Kochi[MIS_Group1],$B20)/10^5</f>
        <v>18.60999</v>
      </c>
      <c r="E20" s="39">
        <f>SUMIFS(TB_Kochi[Jun],TB_Kochi[MIS_Group1],$B20)/10^5</f>
        <v>21.432259999999999</v>
      </c>
      <c r="F20" s="39">
        <f>SUMIFS(TB_Kochi[Jul],TB_Kochi[MIS_Group1],$B20)/10^5</f>
        <v>18.371490000000001</v>
      </c>
      <c r="G20" s="39">
        <f>SUMIFS(TB_Kochi[Aug],TB_Kochi[MIS_Group1],$B20)/10^5</f>
        <v>26.54288</v>
      </c>
      <c r="H20" s="39">
        <f>SUMIFS(TB_Kochi[Sep],TB_Kochi[MIS_Group1],$B20)/10^5</f>
        <v>16.769259999999999</v>
      </c>
      <c r="I20" s="39">
        <f>SUMIFS(TB_Kochi[Oct],TB_Kochi[MIS_Group1],$B20)/10^5</f>
        <v>22.784310000000001</v>
      </c>
      <c r="J20" s="39">
        <f>SUMIFS(TB_Kochi[Nov],TB_Kochi[MIS_Group1],$B20)/10^5</f>
        <v>9.2188800000000004</v>
      </c>
      <c r="K20" s="39">
        <f>SUMIFS(TB_Kochi[Dec],TB_Kochi[MIS_Group1],$B20)/10^5</f>
        <v>37.617130000000003</v>
      </c>
      <c r="L20" s="39">
        <f>SUMIFS(TB_Kochi[Jan],TB_Kochi[MIS_Group1],$B20)/10^5</f>
        <v>30.036409199999998</v>
      </c>
      <c r="M20" s="39">
        <f>SUMIFS(TB_Kochi[Feb],TB_Kochi[MIS_Group1],$B20)/10^5</f>
        <v>27.38476</v>
      </c>
      <c r="N20" s="134">
        <f>SUMIFS(TB_Kochi[Mar],TB_Kochi[MIS_Group1],$B20)/10^5</f>
        <v>22.105910000000002</v>
      </c>
      <c r="O20" s="96">
        <f>SUM(C20:N20)</f>
        <v>267.65364920000002</v>
      </c>
      <c r="P20" s="23">
        <v>274.99916506162793</v>
      </c>
      <c r="Q20" s="109"/>
      <c r="R20" s="134">
        <f>SUMIFS(TB_Kochi[Apr_26],TB_Kochi[MIS_Group1],$B20)/10^5</f>
        <v>24.08023</v>
      </c>
      <c r="S20" s="134">
        <f>SUMIFS(TB_Kochi!AB:AB,TB_Kochi!J:J,$B20)/10^5</f>
        <v>29.502020000000002</v>
      </c>
      <c r="T20" s="134"/>
      <c r="U20" s="149">
        <f t="shared" si="1"/>
        <v>0.4350237807628794</v>
      </c>
      <c r="V20" s="149">
        <f t="shared" si="2"/>
        <v>8.9311862755254046E-2</v>
      </c>
      <c r="W20" s="149" t="str">
        <f t="shared" si="3"/>
        <v>-</v>
      </c>
    </row>
    <row r="21" spans="2:23" x14ac:dyDescent="0.35">
      <c r="B21" s="12" t="s">
        <v>278</v>
      </c>
      <c r="C21" s="134">
        <f>SUMIFS(TB_Kochi[Apr],TB_Kochi[MIS_Group1],$B21)/10^5</f>
        <v>80.580869246999995</v>
      </c>
      <c r="D21" s="39">
        <f>SUMIFS(TB_Kochi[May],TB_Kochi[MIS_Group1],$B21)/10^5</f>
        <v>86.939696221900007</v>
      </c>
      <c r="E21" s="39">
        <f>SUMIFS(TB_Kochi[Jun],TB_Kochi[MIS_Group1],$B21)/10^5</f>
        <v>96.876999247000015</v>
      </c>
      <c r="F21" s="39">
        <f>SUMIFS(TB_Kochi[Jul],TB_Kochi[MIS_Group1],$B21)/10^5</f>
        <v>89.210936221899999</v>
      </c>
      <c r="G21" s="39">
        <f>SUMIFS(TB_Kochi[Aug],TB_Kochi[MIS_Group1],$B21)/10^5</f>
        <v>82.562846221899989</v>
      </c>
      <c r="H21" s="39">
        <f>SUMIFS(TB_Kochi[Sep],TB_Kochi[MIS_Group1],$B21)/10^5</f>
        <v>89.57016924700001</v>
      </c>
      <c r="I21" s="39">
        <f>SUMIFS(TB_Kochi[Oct],TB_Kochi[MIS_Group1],$B21)/10^5</f>
        <v>100.6001462219</v>
      </c>
      <c r="J21" s="39">
        <f>SUMIFS(TB_Kochi[Nov],TB_Kochi[MIS_Group1],$B21)/10^5</f>
        <v>80.310699246999988</v>
      </c>
      <c r="K21" s="39">
        <f>SUMIFS(TB_Kochi[Dec],TB_Kochi[MIS_Group1],$B21)/10^5</f>
        <v>90.216956221900006</v>
      </c>
      <c r="L21" s="39">
        <f>SUMIFS(TB_Kochi[Jan],TB_Kochi[MIS_Group1],$B21)/10^5</f>
        <v>96.482086221900005</v>
      </c>
      <c r="M21" s="39">
        <f>SUMIFS(TB_Kochi[Feb],TB_Kochi[MIS_Group1],$B21)/10^5</f>
        <v>83.417795297200001</v>
      </c>
      <c r="N21" s="134">
        <f>SUMIFS(TB_Kochi[Mar],TB_Kochi[MIS_Group1],$B21)/10^5</f>
        <v>113.50917922190001</v>
      </c>
      <c r="O21" s="96">
        <f t="shared" si="6"/>
        <v>1090.2783788385</v>
      </c>
      <c r="P21" s="23">
        <v>1207.4027917698525</v>
      </c>
      <c r="Q21" s="109"/>
      <c r="R21" s="134">
        <f>SUMIFS(TB_Kochi[Apr_26],TB_Kochi[MIS_Group1],$B21)/10^5</f>
        <v>100.3519271919</v>
      </c>
      <c r="S21" s="134">
        <f>SUMIFS(TB_Kochi!AB:AB,TB_Kochi!J:J,$B21)/10^5</f>
        <v>95.957067191899995</v>
      </c>
      <c r="T21" s="134"/>
      <c r="U21" s="149">
        <f t="shared" si="1"/>
        <v>0.24535672213086834</v>
      </c>
      <c r="V21" s="149">
        <f t="shared" si="2"/>
        <v>-0.11591355095854228</v>
      </c>
      <c r="W21" s="149" t="str">
        <f t="shared" si="3"/>
        <v>-</v>
      </c>
    </row>
    <row r="22" spans="2:23" x14ac:dyDescent="0.35">
      <c r="B22" s="12" t="s">
        <v>288</v>
      </c>
      <c r="C22" s="134">
        <f>SUMIFS(TB_Kochi[Apr],TB_Kochi[MIS_Group1],$B22)/10^5</f>
        <v>12.06222</v>
      </c>
      <c r="D22" s="39">
        <f>SUMIFS(TB_Kochi[May],TB_Kochi[MIS_Group1],$B22)/10^5</f>
        <v>10.76928</v>
      </c>
      <c r="E22" s="39">
        <f>SUMIFS(TB_Kochi[Jun],TB_Kochi[MIS_Group1],$B22)/10^5</f>
        <v>12.956200000000001</v>
      </c>
      <c r="F22" s="39">
        <f>SUMIFS(TB_Kochi[Jul],TB_Kochi[MIS_Group1],$B22)/10^5</f>
        <v>6.2487599999999999</v>
      </c>
      <c r="G22" s="39">
        <f>SUMIFS(TB_Kochi[Aug],TB_Kochi[MIS_Group1],$B22)/10^5</f>
        <v>15.83935</v>
      </c>
      <c r="H22" s="39">
        <f>SUMIFS(TB_Kochi[Sep],TB_Kochi[MIS_Group1],$B22)/10^5</f>
        <v>15.72184</v>
      </c>
      <c r="I22" s="39">
        <f>SUMIFS(TB_Kochi[Oct],TB_Kochi[MIS_Group1],$B22)/10^5</f>
        <v>9.8071845999999994</v>
      </c>
      <c r="J22" s="39">
        <f>SUMIFS(TB_Kochi[Nov],TB_Kochi[MIS_Group1],$B22)/10^5</f>
        <v>8.2658836000000004</v>
      </c>
      <c r="K22" s="39">
        <f>SUMIFS(TB_Kochi[Dec],TB_Kochi[MIS_Group1],$B22)/10^5</f>
        <v>12.974523600000001</v>
      </c>
      <c r="L22" s="39">
        <f>SUMIFS(TB_Kochi[Jan],TB_Kochi[MIS_Group1],$B22)/10^5</f>
        <v>10.716813600000002</v>
      </c>
      <c r="M22" s="39">
        <f>SUMIFS(TB_Kochi[Feb],TB_Kochi[MIS_Group1],$B22)/10^5</f>
        <v>10.821983600000001</v>
      </c>
      <c r="N22" s="134">
        <f>SUMIFS(TB_Kochi[Mar],TB_Kochi[MIS_Group1],$B22)/10^5</f>
        <v>19.049694000000002</v>
      </c>
      <c r="O22" s="96">
        <f t="shared" si="6"/>
        <v>145.233733</v>
      </c>
      <c r="P22" s="23">
        <v>67.094598314059922</v>
      </c>
      <c r="Q22" s="109"/>
      <c r="R22" s="134">
        <f>SUMIFS(TB_Kochi[Apr_26],TB_Kochi[MIS_Group1],$B22)/10^5</f>
        <v>9.2140104000000012</v>
      </c>
      <c r="S22" s="134">
        <f>SUMIFS(TB_Kochi!AB:AB,TB_Kochi!J:J,$B22)/10^5</f>
        <v>11.444163600000001</v>
      </c>
      <c r="T22" s="134"/>
      <c r="U22" s="149">
        <f t="shared" si="1"/>
        <v>-0.23612648417952908</v>
      </c>
      <c r="V22" s="149">
        <f t="shared" si="2"/>
        <v>-0.51631714399191919</v>
      </c>
      <c r="W22" s="149" t="str">
        <f t="shared" si="3"/>
        <v>-</v>
      </c>
    </row>
    <row r="23" spans="2:23" x14ac:dyDescent="0.35">
      <c r="B23" s="12" t="s">
        <v>289</v>
      </c>
      <c r="C23" s="134">
        <f>SUMIFS(TB_Kochi[Apr],TB_Kochi[MIS_Group1],$B23)/10^5</f>
        <v>64.35651399999999</v>
      </c>
      <c r="D23" s="39">
        <f>SUMIFS(TB_Kochi[May],TB_Kochi[MIS_Group1],$B23)/10^5</f>
        <v>82.209474399999991</v>
      </c>
      <c r="E23" s="39">
        <f>SUMIFS(TB_Kochi[Jun],TB_Kochi[MIS_Group1],$B23)/10^5</f>
        <v>115.9385884</v>
      </c>
      <c r="F23" s="39">
        <f>SUMIFS(TB_Kochi[Jul],TB_Kochi[MIS_Group1],$B23)/10^5</f>
        <v>117.26711929999999</v>
      </c>
      <c r="G23" s="39">
        <f>SUMIFS(TB_Kochi[Aug],TB_Kochi[MIS_Group1],$B23)/10^5</f>
        <v>126.82323660000002</v>
      </c>
      <c r="H23" s="39">
        <f>SUMIFS(TB_Kochi[Sep],TB_Kochi[MIS_Group1],$B23)/10^5</f>
        <v>145.9999229</v>
      </c>
      <c r="I23" s="39">
        <f>SUMIFS(TB_Kochi[Oct],TB_Kochi[MIS_Group1],$B23)/10^5</f>
        <v>151.83994229999996</v>
      </c>
      <c r="J23" s="39">
        <f>SUMIFS(TB_Kochi[Nov],TB_Kochi[MIS_Group1],$B23)/10^5</f>
        <v>120.39281460000001</v>
      </c>
      <c r="K23" s="39">
        <f>SUMIFS(TB_Kochi[Dec],TB_Kochi[MIS_Group1],$B23)/10^5</f>
        <v>92.163136800000004</v>
      </c>
      <c r="L23" s="39">
        <f>SUMIFS(TB_Kochi[Jan],TB_Kochi[MIS_Group1],$B23)/10^5</f>
        <v>80.2207516</v>
      </c>
      <c r="M23" s="39">
        <f>SUMIFS(TB_Kochi[Feb],TB_Kochi[MIS_Group1],$B23)/10^5</f>
        <v>181.89487270000004</v>
      </c>
      <c r="N23" s="134">
        <f>SUMIFS(TB_Kochi[Mar],TB_Kochi[MIS_Group1],$B23)/10^5</f>
        <v>175.18003039999999</v>
      </c>
      <c r="O23" s="96">
        <f t="shared" si="6"/>
        <v>1454.2864039999999</v>
      </c>
      <c r="P23" s="23">
        <v>1158.8032171377702</v>
      </c>
      <c r="Q23" s="109"/>
      <c r="R23" s="134">
        <f>SUMIFS(TB_Kochi[Apr_26],TB_Kochi[MIS_Group1],$B23)/10^5</f>
        <v>104.13854869999999</v>
      </c>
      <c r="S23" s="134">
        <f>SUMIFS(TB_Kochi!AB:AB,TB_Kochi!J:J,$B23)/10^5</f>
        <v>70.302391799999995</v>
      </c>
      <c r="T23" s="134"/>
      <c r="U23" s="149">
        <f t="shared" si="1"/>
        <v>0.61815086348524106</v>
      </c>
      <c r="V23" s="149">
        <f t="shared" si="2"/>
        <v>-0.40553413273069061</v>
      </c>
      <c r="W23" s="149" t="str">
        <f t="shared" si="3"/>
        <v>-</v>
      </c>
    </row>
    <row r="24" spans="2:23" x14ac:dyDescent="0.35">
      <c r="B24" s="12" t="s">
        <v>535</v>
      </c>
      <c r="C24" s="134">
        <f>SUMIFS(TB_Kochi[Apr],TB_Kochi[MIS_Group1],$B24)/10^5</f>
        <v>20.417359999999999</v>
      </c>
      <c r="D24" s="39">
        <f>SUMIFS(TB_Kochi[May],TB_Kochi[MIS_Group1],$B24)/10^5</f>
        <v>23.251449999999998</v>
      </c>
      <c r="E24" s="39">
        <f>SUMIFS(TB_Kochi[Jun],TB_Kochi[MIS_Group1],$B24)/10^5</f>
        <v>23.251449999999998</v>
      </c>
      <c r="F24" s="39">
        <f>SUMIFS(TB_Kochi[Jul],TB_Kochi[MIS_Group1],$B24)/10^5</f>
        <v>22.96171</v>
      </c>
      <c r="G24" s="39">
        <f>SUMIFS(TB_Kochi[Aug],TB_Kochi[MIS_Group1],$B24)/10^5</f>
        <v>19.611619999999998</v>
      </c>
      <c r="H24" s="39">
        <f>SUMIFS(TB_Kochi[Sep],TB_Kochi[MIS_Group1],$B24)/10^5</f>
        <v>18.675923499999993</v>
      </c>
      <c r="I24" s="39">
        <f>SUMIFS(TB_Kochi[Oct],TB_Kochi[MIS_Group1],$B24)/10^5</f>
        <v>25.150480000000002</v>
      </c>
      <c r="J24" s="39">
        <f>SUMIFS(TB_Kochi[Nov],TB_Kochi[MIS_Group1],$B24)/10^5</f>
        <v>20.6798</v>
      </c>
      <c r="K24" s="39">
        <f>SUMIFS(TB_Kochi[Dec],TB_Kochi[MIS_Group1],$B24)/10^5</f>
        <v>21.015059999999998</v>
      </c>
      <c r="L24" s="39">
        <f>SUMIFS(TB_Kochi[Jan],TB_Kochi[MIS_Group1],$B24)/10^5</f>
        <v>22.250769999999999</v>
      </c>
      <c r="M24" s="39">
        <f>SUMIFS(TB_Kochi[Feb],TB_Kochi[MIS_Group1],$B24)/10^5</f>
        <v>20.75996</v>
      </c>
      <c r="N24" s="134">
        <f>SUMIFS(TB_Kochi[Mar],TB_Kochi[MIS_Group1],$B24)/10^5</f>
        <v>22.6</v>
      </c>
      <c r="O24" s="96">
        <f>SUM(C24:N24)</f>
        <v>260.62558349999995</v>
      </c>
      <c r="P24" s="23">
        <v>234.68642199288732</v>
      </c>
      <c r="Q24" s="109"/>
      <c r="R24" s="134">
        <f>SUMIFS(TB_Kochi[Apr_26],TB_Kochi[MIS_Group1],$B24)/10^5</f>
        <v>23.457550000000001</v>
      </c>
      <c r="S24" s="134">
        <f>SUMIFS(TB_Kochi!AB:AB,TB_Kochi!J:J,$B24)/10^5</f>
        <v>18.425360000000001</v>
      </c>
      <c r="T24" s="134"/>
      <c r="U24" s="149">
        <f t="shared" si="1"/>
        <v>0.14890220870866777</v>
      </c>
      <c r="V24" s="149">
        <f t="shared" si="2"/>
        <v>3.7944690265486747E-2</v>
      </c>
      <c r="W24" s="149" t="str">
        <f t="shared" si="3"/>
        <v>-</v>
      </c>
    </row>
    <row r="25" spans="2:23" x14ac:dyDescent="0.35">
      <c r="B25" s="12" t="s">
        <v>534</v>
      </c>
      <c r="C25" s="134">
        <f>SUMIFS(TB_Kochi[Apr],TB_Kochi[MIS_Group1],$B25)/10^5</f>
        <v>63.59328</v>
      </c>
      <c r="D25" s="39">
        <f>SUMIFS(TB_Kochi[May],TB_Kochi[MIS_Group1],$B25)/10^5</f>
        <v>68.970341700000006</v>
      </c>
      <c r="E25" s="39">
        <f>SUMIFS(TB_Kochi[Jun],TB_Kochi[MIS_Group1],$B25)/10^5</f>
        <v>76.137535</v>
      </c>
      <c r="F25" s="39">
        <f>SUMIFS(TB_Kochi[Jul],TB_Kochi[MIS_Group1],$B25)/10^5</f>
        <v>71.090918399999993</v>
      </c>
      <c r="G25" s="39">
        <f>SUMIFS(TB_Kochi[Aug],TB_Kochi[MIS_Group1],$B25)/10^5</f>
        <v>64.630584600000006</v>
      </c>
      <c r="H25" s="39">
        <f>SUMIFS(TB_Kochi[Sep],TB_Kochi[MIS_Group1],$B25)/10^5</f>
        <v>72.412979300000003</v>
      </c>
      <c r="I25" s="39">
        <f>SUMIFS(TB_Kochi[Oct],TB_Kochi[MIS_Group1],$B25)/10^5</f>
        <v>85.337472799999986</v>
      </c>
      <c r="J25" s="39">
        <f>SUMIFS(TB_Kochi[Nov],TB_Kochi[MIS_Group1],$B25)/10^5</f>
        <v>60.379886399999997</v>
      </c>
      <c r="K25" s="39">
        <f>SUMIFS(TB_Kochi[Dec],TB_Kochi[MIS_Group1],$B25)/10^5</f>
        <v>65.103126099999997</v>
      </c>
      <c r="L25" s="39">
        <f>SUMIFS(TB_Kochi[Jan],TB_Kochi[MIS_Group1],$B25)/10^5</f>
        <v>45.841540500000008</v>
      </c>
      <c r="M25" s="39">
        <f>SUMIFS(TB_Kochi[Feb],TB_Kochi[MIS_Group1],$B25)/10^5</f>
        <v>118.05675880000001</v>
      </c>
      <c r="N25" s="134">
        <f>SUMIFS(TB_Kochi[Mar],TB_Kochi[MIS_Group1],$B25)/10^5</f>
        <v>179.92847850000001</v>
      </c>
      <c r="O25" s="96">
        <f>SUM(C25:N25)</f>
        <v>971.48290210000016</v>
      </c>
      <c r="P25" s="23">
        <v>888.04263271236539</v>
      </c>
      <c r="Q25" s="109"/>
      <c r="R25" s="134">
        <f>SUMIFS(TB_Kochi[Apr_26],TB_Kochi[MIS_Group1],$B25)/10^5</f>
        <v>86.153207100000003</v>
      </c>
      <c r="S25" s="134">
        <f>SUMIFS(TB_Kochi!AB:AB,TB_Kochi!J:J,$B25)/10^5</f>
        <v>111.12339030000001</v>
      </c>
      <c r="T25" s="134"/>
      <c r="U25" s="149">
        <f t="shared" si="1"/>
        <v>0.35475331827513856</v>
      </c>
      <c r="V25" s="149">
        <f t="shared" si="2"/>
        <v>-0.52118081685440365</v>
      </c>
      <c r="W25" s="149" t="str">
        <f t="shared" si="3"/>
        <v>-</v>
      </c>
    </row>
    <row r="26" spans="2:23" x14ac:dyDescent="0.35">
      <c r="B26" s="12" t="s">
        <v>310</v>
      </c>
      <c r="C26" s="134">
        <f>SUMIFS(TB_Kochi[Apr],TB_Kochi[MIS_Group1],$B26)/10^5</f>
        <v>11.413163700000002</v>
      </c>
      <c r="D26" s="39">
        <f>SUMIFS(TB_Kochi[May],TB_Kochi[MIS_Group1],$B26)/10^5</f>
        <v>17.2897128</v>
      </c>
      <c r="E26" s="39">
        <f>SUMIFS(TB_Kochi[Jun],TB_Kochi[MIS_Group1],$B26)/10^5</f>
        <v>13.468636299999998</v>
      </c>
      <c r="F26" s="39">
        <f>SUMIFS(TB_Kochi[Jul],TB_Kochi[MIS_Group1],$B26)/10^5</f>
        <v>16.438967999999999</v>
      </c>
      <c r="G26" s="39">
        <f>SUMIFS(TB_Kochi[Aug],TB_Kochi[MIS_Group1],$B26)/10^5</f>
        <v>13.802424199999999</v>
      </c>
      <c r="H26" s="39">
        <f>SUMIFS(TB_Kochi[Sep],TB_Kochi[MIS_Group1],$B26)/10^5</f>
        <v>14.393906399999999</v>
      </c>
      <c r="I26" s="39">
        <f>SUMIFS(TB_Kochi[Oct],TB_Kochi[MIS_Group1],$B26)/10^5</f>
        <v>17.6299724</v>
      </c>
      <c r="J26" s="39">
        <f>SUMIFS(TB_Kochi[Nov],TB_Kochi[MIS_Group1],$B26)/10^5</f>
        <v>11.574042199999999</v>
      </c>
      <c r="K26" s="39">
        <f>SUMIFS(TB_Kochi[Dec],TB_Kochi[MIS_Group1],$B26)/10^5</f>
        <v>13.9075711</v>
      </c>
      <c r="L26" s="39">
        <f>SUMIFS(TB_Kochi[Jan],TB_Kochi[MIS_Group1],$B26)/10^5</f>
        <v>14.0131107</v>
      </c>
      <c r="M26" s="39">
        <f>SUMIFS(TB_Kochi[Feb],TB_Kochi[MIS_Group1],$B26)/10^5</f>
        <v>17.457753500000003</v>
      </c>
      <c r="N26" s="134">
        <f>SUMIFS(TB_Kochi[Mar],TB_Kochi[MIS_Group1],$B26)/10^5</f>
        <v>19.357531100000003</v>
      </c>
      <c r="O26" s="96">
        <f>SUM(C26:N26)</f>
        <v>180.7467924</v>
      </c>
      <c r="P26" s="23">
        <v>176.68481778595651</v>
      </c>
      <c r="Q26" s="109"/>
      <c r="R26" s="134">
        <f>SUMIFS(TB_Kochi[Apr_26],TB_Kochi[MIS_Group1],$B26)/10^5</f>
        <v>18.9194329</v>
      </c>
      <c r="S26" s="134">
        <f>SUMIFS(TB_Kochi!AB:AB,TB_Kochi!J:J,$B26)/10^5</f>
        <v>17.911196999999998</v>
      </c>
      <c r="T26" s="134"/>
      <c r="U26" s="149">
        <f t="shared" si="1"/>
        <v>0.65768523060788109</v>
      </c>
      <c r="V26" s="149">
        <f t="shared" si="2"/>
        <v>-2.2631925411190634E-2</v>
      </c>
      <c r="W26" s="149" t="str">
        <f t="shared" si="3"/>
        <v>-</v>
      </c>
    </row>
    <row r="27" spans="2:23" x14ac:dyDescent="0.35">
      <c r="B27" s="12" t="s">
        <v>207</v>
      </c>
      <c r="C27" s="134">
        <f>SUMIFS(TB_Kochi[Apr],TB_Kochi[MIS_Group1],$B27)/10^5</f>
        <v>2.1328065999999999</v>
      </c>
      <c r="D27" s="39">
        <f>SUMIFS(TB_Kochi[May],TB_Kochi[MIS_Group1],$B27)/10^5</f>
        <v>2.3836814999999998</v>
      </c>
      <c r="E27" s="39">
        <f>SUMIFS(TB_Kochi[Jun],TB_Kochi[MIS_Group1],$B27)/10^5</f>
        <v>1.7857524</v>
      </c>
      <c r="F27" s="39">
        <f>SUMIFS(TB_Kochi[Jul],TB_Kochi[MIS_Group1],$B27)/10^5</f>
        <v>1.8446100000000001</v>
      </c>
      <c r="G27" s="39">
        <f>SUMIFS(TB_Kochi[Aug],TB_Kochi[MIS_Group1],$B27)/10^5</f>
        <v>2.6308199999999999</v>
      </c>
      <c r="H27" s="39">
        <f>SUMIFS(TB_Kochi[Sep],TB_Kochi[MIS_Group1],$B27)/10^5</f>
        <v>2.6194263000000002</v>
      </c>
      <c r="I27" s="39">
        <f>SUMIFS(TB_Kochi[Oct],TB_Kochi[MIS_Group1],$B27)/10^5</f>
        <v>2.6621796999999998</v>
      </c>
      <c r="J27" s="39">
        <f>SUMIFS(TB_Kochi[Nov],TB_Kochi[MIS_Group1],$B27)/10^5</f>
        <v>2.8790144999999994</v>
      </c>
      <c r="K27" s="39">
        <f>SUMIFS(TB_Kochi[Dec],TB_Kochi[MIS_Group1],$B27)/10^5</f>
        <v>3.106754</v>
      </c>
      <c r="L27" s="39">
        <f>SUMIFS(TB_Kochi[Jan],TB_Kochi[MIS_Group1],$B27)/10^5</f>
        <v>3.1086155</v>
      </c>
      <c r="M27" s="39">
        <f>SUMIFS(TB_Kochi[Feb],TB_Kochi[MIS_Group1],$B27)/10^5</f>
        <v>2.8095307000000003</v>
      </c>
      <c r="N27" s="134">
        <f>SUMIFS(TB_Kochi[Mar],TB_Kochi[MIS_Group1],$B27)/10^5</f>
        <v>3.1139877</v>
      </c>
      <c r="O27" s="96">
        <f>SUM(C27:N27)</f>
        <v>31.077178899999996</v>
      </c>
      <c r="P27" s="23">
        <v>31.212928318603439</v>
      </c>
      <c r="Q27" s="109"/>
      <c r="R27" s="134">
        <f>SUMIFS(TB_Kochi[Apr_26],TB_Kochi[MIS_Group1],$B27)/10^5</f>
        <v>2.9571757999999995</v>
      </c>
      <c r="S27" s="134">
        <f>SUMIFS(TB_Kochi!AB:AB,TB_Kochi!J:J,$B27)/10^5</f>
        <v>3.2144620000000002</v>
      </c>
      <c r="T27" s="134"/>
      <c r="U27" s="149">
        <f t="shared" si="1"/>
        <v>0.38651849633248481</v>
      </c>
      <c r="V27" s="149">
        <f t="shared" si="2"/>
        <v>-5.0357263774677308E-2</v>
      </c>
      <c r="W27" s="149" t="str">
        <f t="shared" si="3"/>
        <v>-</v>
      </c>
    </row>
    <row r="28" spans="2:23" x14ac:dyDescent="0.35">
      <c r="B28" s="12" t="s">
        <v>301</v>
      </c>
      <c r="C28" s="134">
        <f>SUMIFS(TB_Kochi[Apr],TB_Kochi[MIS_Group1],$B28)/10^5</f>
        <v>3.3502371999999996</v>
      </c>
      <c r="D28" s="39">
        <f>SUMIFS(TB_Kochi[May],TB_Kochi[MIS_Group1],$B28)/10^5</f>
        <v>5.8806759999999993</v>
      </c>
      <c r="E28" s="39">
        <f>SUMIFS(TB_Kochi[Jun],TB_Kochi[MIS_Group1],$B28)/10^5</f>
        <v>4.333596</v>
      </c>
      <c r="F28" s="39">
        <f>SUMIFS(TB_Kochi[Jul],TB_Kochi[MIS_Group1],$B28)/10^5</f>
        <v>6.08216</v>
      </c>
      <c r="G28" s="39">
        <f>SUMIFS(TB_Kochi[Aug],TB_Kochi[MIS_Group1],$B28)/10^5</f>
        <v>2.982145</v>
      </c>
      <c r="H28" s="39">
        <f>SUMIFS(TB_Kochi[Sep],TB_Kochi[MIS_Group1],$B28)/10^5</f>
        <v>1.5551360000000001</v>
      </c>
      <c r="I28" s="39">
        <f>SUMIFS(TB_Kochi[Oct],TB_Kochi[MIS_Group1],$B28)/10^5</f>
        <v>9.4252485999999998</v>
      </c>
      <c r="J28" s="39">
        <f>SUMIFS(TB_Kochi[Nov],TB_Kochi[MIS_Group1],$B28)/10^5</f>
        <v>1.6373285</v>
      </c>
      <c r="K28" s="39">
        <f>SUMIFS(TB_Kochi[Dec],TB_Kochi[MIS_Group1],$B28)/10^5</f>
        <v>2.1742185000000003</v>
      </c>
      <c r="L28" s="39">
        <f>SUMIFS(TB_Kochi[Jan],TB_Kochi[MIS_Group1],$B28)/10^5</f>
        <v>4.4485584999999999</v>
      </c>
      <c r="M28" s="39">
        <f>SUMIFS(TB_Kochi[Feb],TB_Kochi[MIS_Group1],$B28)/10^5</f>
        <v>2.6250279999999999</v>
      </c>
      <c r="N28" s="134">
        <f>SUMIFS(TB_Kochi[Mar],TB_Kochi[MIS_Group1],$B28)/10^5</f>
        <v>13.392653599999999</v>
      </c>
      <c r="O28" s="96">
        <f t="shared" si="6"/>
        <v>57.886985899999999</v>
      </c>
      <c r="P28" s="23">
        <v>58.754068174598885</v>
      </c>
      <c r="Q28" s="109"/>
      <c r="R28" s="134">
        <f>SUMIFS(TB_Kochi[Apr_26],TB_Kochi[MIS_Group1],$B28)/10^5</f>
        <v>1.0579971000000001</v>
      </c>
      <c r="S28" s="134">
        <f>SUMIFS(TB_Kochi!AB:AB,TB_Kochi!J:J,$B28)/10^5</f>
        <v>1.3032736999999999</v>
      </c>
      <c r="T28" s="134"/>
      <c r="U28" s="149">
        <f t="shared" si="1"/>
        <v>-0.68420233050961277</v>
      </c>
      <c r="V28" s="149">
        <f t="shared" si="2"/>
        <v>-0.9210016825941052</v>
      </c>
      <c r="W28" s="149" t="str">
        <f t="shared" si="3"/>
        <v>-</v>
      </c>
    </row>
    <row r="29" spans="2:23" x14ac:dyDescent="0.35">
      <c r="B29" s="12" t="s">
        <v>302</v>
      </c>
      <c r="C29" s="134">
        <f>SUMIFS(TB_Kochi[Apr],TB_Kochi[MIS_Group1],$B29)/10^5</f>
        <v>3.1349999999999998</v>
      </c>
      <c r="D29" s="39">
        <f>SUMIFS(TB_Kochi[May],TB_Kochi[MIS_Group1],$B29)/10^5</f>
        <v>10.910439999999999</v>
      </c>
      <c r="E29" s="39">
        <f>SUMIFS(TB_Kochi[Jun],TB_Kochi[MIS_Group1],$B29)/10^5</f>
        <v>10.959490000000001</v>
      </c>
      <c r="F29" s="39">
        <f>SUMIFS(TB_Kochi[Jul],TB_Kochi[MIS_Group1],$B29)/10^5</f>
        <v>20.491700000000002</v>
      </c>
      <c r="G29" s="39">
        <f>SUMIFS(TB_Kochi[Aug],TB_Kochi[MIS_Group1],$B29)/10^5</f>
        <v>7.3080100000000003</v>
      </c>
      <c r="H29" s="39">
        <f>SUMIFS(TB_Kochi[Sep],TB_Kochi[MIS_Group1],$B29)/10^5</f>
        <v>6.7787800000000002</v>
      </c>
      <c r="I29" s="39">
        <f>SUMIFS(TB_Kochi[Oct],TB_Kochi[MIS_Group1],$B29)/10^5</f>
        <v>16.178921200000001</v>
      </c>
      <c r="J29" s="39">
        <f>SUMIFS(TB_Kochi[Nov],TB_Kochi[MIS_Group1],$B29)/10^5</f>
        <v>16.858746</v>
      </c>
      <c r="K29" s="39">
        <f>SUMIFS(TB_Kochi[Dec],TB_Kochi[MIS_Group1],$B29)/10^5</f>
        <v>9.2340812000000003</v>
      </c>
      <c r="L29" s="39">
        <f>SUMIFS(TB_Kochi[Jan],TB_Kochi[MIS_Group1],$B29)/10^5</f>
        <v>19.4752212</v>
      </c>
      <c r="M29" s="39">
        <f>SUMIFS(TB_Kochi[Feb],TB_Kochi[MIS_Group1],$B29)/10^5</f>
        <v>35.449205599999999</v>
      </c>
      <c r="N29" s="134">
        <f>SUMIFS(TB_Kochi[Mar],TB_Kochi[MIS_Group1],$B29)/10^5</f>
        <v>41.538749800000005</v>
      </c>
      <c r="O29" s="96">
        <f t="shared" si="6"/>
        <v>198.31834500000002</v>
      </c>
      <c r="P29" s="23">
        <v>140.22669178496952</v>
      </c>
      <c r="Q29" s="109"/>
      <c r="R29" s="134">
        <f>SUMIFS(TB_Kochi[Apr_26],TB_Kochi[MIS_Group1],$B29)/10^5</f>
        <v>14.061261000000002</v>
      </c>
      <c r="S29" s="134">
        <f>SUMIFS(TB_Kochi!AB:AB,TB_Kochi!J:J,$B29)/10^5</f>
        <v>14.4187128</v>
      </c>
      <c r="T29" s="134"/>
      <c r="U29" s="149">
        <f t="shared" si="1"/>
        <v>3.4852507177033498</v>
      </c>
      <c r="V29" s="149">
        <f t="shared" si="2"/>
        <v>-0.66149051024159622</v>
      </c>
      <c r="W29" s="149" t="str">
        <f t="shared" si="3"/>
        <v>-</v>
      </c>
    </row>
    <row r="30" spans="2:23" x14ac:dyDescent="0.35">
      <c r="B30" s="12" t="s">
        <v>307</v>
      </c>
      <c r="C30" s="134">
        <f>SUMIFS(TB_Kochi[Apr],TB_Kochi[MIS_Group1],$B30)/10^5</f>
        <v>0</v>
      </c>
      <c r="D30" s="39">
        <f>SUMIFS(TB_Kochi[May],TB_Kochi[MIS_Group1],$B30)/10^5</f>
        <v>0</v>
      </c>
      <c r="E30" s="39">
        <f>SUMIFS(TB_Kochi[Jun],TB_Kochi[MIS_Group1],$B30)/10^5</f>
        <v>0</v>
      </c>
      <c r="F30" s="39">
        <f>SUMIFS(TB_Kochi[Jul],TB_Kochi[MIS_Group1],$B30)/10^5</f>
        <v>0</v>
      </c>
      <c r="G30" s="39">
        <f>SUMIFS(TB_Kochi[Aug],TB_Kochi[MIS_Group1],$B30)/10^5</f>
        <v>8.4000000000000005E-2</v>
      </c>
      <c r="H30" s="39">
        <f>SUMIFS(TB_Kochi[Sep],TB_Kochi[MIS_Group1],$B30)/10^5</f>
        <v>0.59499999999999997</v>
      </c>
      <c r="I30" s="39">
        <f>SUMIFS(TB_Kochi[Oct],TB_Kochi[MIS_Group1],$B30)/10^5</f>
        <v>0.41760000000000003</v>
      </c>
      <c r="J30" s="39">
        <f>SUMIFS(TB_Kochi[Nov],TB_Kochi[MIS_Group1],$B30)/10^5</f>
        <v>0.42399999999999999</v>
      </c>
      <c r="K30" s="39">
        <f>SUMIFS(TB_Kochi[Dec],TB_Kochi[MIS_Group1],$B30)/10^5</f>
        <v>0.88136000000000003</v>
      </c>
      <c r="L30" s="39">
        <f>SUMIFS(TB_Kochi[Jan],TB_Kochi[MIS_Group1],$B30)/10^5</f>
        <v>0.63400000000000001</v>
      </c>
      <c r="M30" s="39">
        <f>SUMIFS(TB_Kochi[Feb],TB_Kochi[MIS_Group1],$B30)/10^5</f>
        <v>4.9599999999999998E-2</v>
      </c>
      <c r="N30" s="134">
        <f>SUMIFS(TB_Kochi[Mar],TB_Kochi[MIS_Group1],$B30)/10^5</f>
        <v>2.590128</v>
      </c>
      <c r="O30" s="96">
        <f>SUM(C30:N30)</f>
        <v>5.6756879999999992</v>
      </c>
      <c r="P30" s="23">
        <v>4.4807815412977101</v>
      </c>
      <c r="Q30" s="109"/>
      <c r="R30" s="134">
        <f>SUMIFS(TB_Kochi[Apr_26],TB_Kochi[MIS_Group1],$B30)/10^5</f>
        <v>0</v>
      </c>
      <c r="S30" s="134">
        <f>SUMIFS(TB_Kochi!AB:AB,TB_Kochi!J:J,$B30)/10^5</f>
        <v>0</v>
      </c>
      <c r="T30" s="134"/>
      <c r="U30" s="149" t="str">
        <f t="shared" si="1"/>
        <v>-</v>
      </c>
      <c r="V30" s="149">
        <f t="shared" si="2"/>
        <v>-1</v>
      </c>
      <c r="W30" s="149" t="str">
        <f t="shared" si="3"/>
        <v>-</v>
      </c>
    </row>
    <row r="31" spans="2:23" x14ac:dyDescent="0.35">
      <c r="B31" s="12" t="s">
        <v>308</v>
      </c>
      <c r="C31" s="134">
        <v>18.708139331228381</v>
      </c>
      <c r="D31" s="39">
        <f>ECL!$M$43/12</f>
        <v>1.3767419874438549</v>
      </c>
      <c r="E31" s="39">
        <f>ECL!$M$43/12</f>
        <v>1.3767419874438549</v>
      </c>
      <c r="F31" s="39">
        <f>ECL!$M$43/12</f>
        <v>1.3767419874438549</v>
      </c>
      <c r="G31" s="39">
        <f>ECL!$M$43/12</f>
        <v>1.3767419874438549</v>
      </c>
      <c r="H31" s="39">
        <f>ECL!$M$43/12</f>
        <v>1.3767419874438549</v>
      </c>
      <c r="I31" s="39">
        <f>ECL!$M$43/12</f>
        <v>1.3767419874438549</v>
      </c>
      <c r="J31" s="39">
        <f>ECL!$M$43/12</f>
        <v>1.3767419874438549</v>
      </c>
      <c r="K31" s="39">
        <f>ECL!$M$43/12</f>
        <v>1.3767419874438549</v>
      </c>
      <c r="L31" s="39">
        <f>ECL!$M$43/12</f>
        <v>1.3767419874438549</v>
      </c>
      <c r="M31" s="39">
        <f>ECL!$M$43/12</f>
        <v>1.3767419874438549</v>
      </c>
      <c r="N31" s="134">
        <v>18.708139331228381</v>
      </c>
      <c r="O31" s="96">
        <f>SUM(C31:N31)</f>
        <v>51.183698536895299</v>
      </c>
      <c r="P31" s="23">
        <v>370.00734085068495</v>
      </c>
      <c r="Q31" s="109"/>
      <c r="R31" s="134">
        <f>ECL!$M$43/12</f>
        <v>1.3767419874438549</v>
      </c>
      <c r="S31" s="134">
        <v>1.3767419874438549</v>
      </c>
      <c r="T31" s="134"/>
      <c r="U31" s="149">
        <f t="shared" si="1"/>
        <v>-0.92640946472182073</v>
      </c>
      <c r="V31" s="149">
        <f t="shared" si="2"/>
        <v>-0.92640946472182073</v>
      </c>
      <c r="W31" s="149" t="str">
        <f t="shared" si="3"/>
        <v>-</v>
      </c>
    </row>
    <row r="32" spans="2:23" x14ac:dyDescent="0.35">
      <c r="B32" s="12" t="s">
        <v>311</v>
      </c>
      <c r="C32" s="134">
        <f>SUMIFS(TB_Kochi[Apr],TB_Kochi[MIS_Group1],$B32)/10^5</f>
        <v>79.777442399999998</v>
      </c>
      <c r="D32" s="39">
        <f>SUMIFS(TB_Kochi[May],TB_Kochi[MIS_Group1],$B32)/10^5</f>
        <v>57.800631899999992</v>
      </c>
      <c r="E32" s="39">
        <f>SUMIFS(TB_Kochi[Jun],TB_Kochi[MIS_Group1],$B32)/10^5</f>
        <v>59.602630099999999</v>
      </c>
      <c r="F32" s="39">
        <f>SUMIFS(TB_Kochi[Jul],TB_Kochi[MIS_Group1],$B32)/10^5</f>
        <v>50.627185199999992</v>
      </c>
      <c r="G32" s="39">
        <f>SUMIFS(TB_Kochi[Aug],TB_Kochi[MIS_Group1],$B32)/10^5</f>
        <v>66.304112000000003</v>
      </c>
      <c r="H32" s="39">
        <f>SUMIFS(TB_Kochi[Sep],TB_Kochi[MIS_Group1],$B32)/10^5</f>
        <v>84.835324299999996</v>
      </c>
      <c r="I32" s="39">
        <f>SUMIFS(TB_Kochi[Oct],TB_Kochi[MIS_Group1],$B32)/10^5</f>
        <v>81.838729400000005</v>
      </c>
      <c r="J32" s="39">
        <f>SUMIFS(TB_Kochi[Nov],TB_Kochi[MIS_Group1],$B32)/10^5</f>
        <v>71.732656500000004</v>
      </c>
      <c r="K32" s="39">
        <f>SUMIFS(TB_Kochi[Dec],TB_Kochi[MIS_Group1],$B32)/10^5</f>
        <v>77.642089100000007</v>
      </c>
      <c r="L32" s="39">
        <f>SUMIFS(TB_Kochi[Jan],TB_Kochi[MIS_Group1],$B32)/10^5</f>
        <v>74.109965199999991</v>
      </c>
      <c r="M32" s="39">
        <f>SUMIFS(TB_Kochi[Feb],TB_Kochi[MIS_Group1],$B32)/10^5</f>
        <v>111.7570989</v>
      </c>
      <c r="N32" s="134">
        <f>SUMIFS(TB_Kochi[Mar],TB_Kochi[MIS_Group1],$B32)/10^5</f>
        <v>63.348098399999998</v>
      </c>
      <c r="O32" s="96">
        <f>SUM(C32:N32)</f>
        <v>879.37596340000005</v>
      </c>
      <c r="P32" s="23">
        <v>1209.5726246886948</v>
      </c>
      <c r="Q32" s="109"/>
      <c r="R32" s="134">
        <f>SUMIFS(TB_Kochi[Apr_26],TB_Kochi[MIS_Group1],$B32)/10^5</f>
        <v>72.002349299999992</v>
      </c>
      <c r="S32" s="134">
        <f>SUMIFS(TB_Kochi!AB:AB,TB_Kochi!J:J,$B32)/10^5</f>
        <v>51.283700499999995</v>
      </c>
      <c r="T32" s="134"/>
      <c r="U32" s="149">
        <f t="shared" si="1"/>
        <v>-9.7459793973039277E-2</v>
      </c>
      <c r="V32" s="149">
        <f t="shared" si="2"/>
        <v>0.13661421761004267</v>
      </c>
      <c r="W32" s="149" t="str">
        <f t="shared" si="3"/>
        <v>-</v>
      </c>
    </row>
    <row r="33" spans="2:24" x14ac:dyDescent="0.35">
      <c r="B33" s="12" t="s">
        <v>317</v>
      </c>
      <c r="C33" s="134">
        <f>SUMIFS(TB_Kochi[Apr],TB_Kochi[MIS_Group1],$B33)/10^5</f>
        <v>0.68164080000000005</v>
      </c>
      <c r="D33" s="39">
        <f>SUMIFS(TB_Kochi[May],TB_Kochi[MIS_Group1],$B33)/10^5</f>
        <v>3.4010309999999997</v>
      </c>
      <c r="E33" s="39">
        <f>SUMIFS(TB_Kochi[Jun],TB_Kochi[MIS_Group1],$B33)/10^5</f>
        <v>2.3331342999999998</v>
      </c>
      <c r="F33" s="39">
        <f>SUMIFS(TB_Kochi[Jul],TB_Kochi[MIS_Group1],$B33)/10^5</f>
        <v>3.74227</v>
      </c>
      <c r="G33" s="39">
        <f>SUMIFS(TB_Kochi[Aug],TB_Kochi[MIS_Group1],$B33)/10^5</f>
        <v>2.6777299999999999</v>
      </c>
      <c r="H33" s="39">
        <f>SUMIFS(TB_Kochi[Sep],TB_Kochi[MIS_Group1],$B33)/10^5</f>
        <v>2.3750442999999999</v>
      </c>
      <c r="I33" s="39">
        <f>SUMIFS(TB_Kochi[Oct],TB_Kochi[MIS_Group1],$B33)/10^5</f>
        <v>2.92807</v>
      </c>
      <c r="J33" s="39">
        <f>SUMIFS(TB_Kochi[Nov],TB_Kochi[MIS_Group1],$B33)/10^5</f>
        <v>4.9159996000000001</v>
      </c>
      <c r="K33" s="39">
        <f>SUMIFS(TB_Kochi[Dec],TB_Kochi[MIS_Group1],$B33)/10^5</f>
        <v>1.8910118</v>
      </c>
      <c r="L33" s="39">
        <f>SUMIFS(TB_Kochi[Jan],TB_Kochi[MIS_Group1],$B33)/10^5</f>
        <v>3.2128392000000003</v>
      </c>
      <c r="M33" s="39">
        <f>SUMIFS(TB_Kochi[Feb],TB_Kochi[MIS_Group1],$B33)/10^5</f>
        <v>1.8980121999999999</v>
      </c>
      <c r="N33" s="134">
        <f>SUMIFS(TB_Kochi[Mar],TB_Kochi[MIS_Group1],$B33)/10^5</f>
        <v>5.0022599999999997</v>
      </c>
      <c r="O33" s="96">
        <f t="shared" si="6"/>
        <v>35.059043199999998</v>
      </c>
      <c r="P33" s="23">
        <v>35.696857471684602</v>
      </c>
      <c r="Q33" s="109"/>
      <c r="R33" s="134">
        <f>SUMIFS(TB_Kochi[Apr_26],TB_Kochi[MIS_Group1],$B33)/10^5</f>
        <v>0.84087000000000001</v>
      </c>
      <c r="S33" s="134">
        <f>SUMIFS(TB_Kochi!AB:AB,TB_Kochi!J:J,$B33)/10^5</f>
        <v>2.4068100000000001</v>
      </c>
      <c r="T33" s="134"/>
      <c r="U33" s="149">
        <f t="shared" si="1"/>
        <v>0.23359693257797942</v>
      </c>
      <c r="V33" s="149">
        <f t="shared" si="2"/>
        <v>-0.83190198030490214</v>
      </c>
      <c r="W33" s="149" t="str">
        <f t="shared" si="3"/>
        <v>-</v>
      </c>
    </row>
    <row r="34" spans="2:24" x14ac:dyDescent="0.35">
      <c r="B34" s="12" t="s">
        <v>325</v>
      </c>
      <c r="C34" s="134">
        <f>SUMIFS(TB_Kochi[Apr],TB_Kochi[MIS_Group1],$B34)/10^5</f>
        <v>0.58835999999999999</v>
      </c>
      <c r="D34" s="39">
        <f>SUMIFS(TB_Kochi[May],TB_Kochi[MIS_Group1],$B34)/10^5</f>
        <v>2.2630699999999999</v>
      </c>
      <c r="E34" s="39">
        <f>SUMIFS(TB_Kochi[Jun],TB_Kochi[MIS_Group1],$B34)/10^5</f>
        <v>2.3014899999999998</v>
      </c>
      <c r="F34" s="39">
        <f>SUMIFS(TB_Kochi[Jul],TB_Kochi[MIS_Group1],$B34)/10^5</f>
        <v>3.3550200000000001</v>
      </c>
      <c r="G34" s="39">
        <f>SUMIFS(TB_Kochi[Aug],TB_Kochi[MIS_Group1],$B34)/10^5</f>
        <v>5.5957400000000002</v>
      </c>
      <c r="H34" s="39">
        <f>SUMIFS(TB_Kochi[Sep],TB_Kochi[MIS_Group1],$B34)/10^5</f>
        <v>1.20231</v>
      </c>
      <c r="I34" s="39">
        <f>SUMIFS(TB_Kochi[Oct],TB_Kochi[MIS_Group1],$B34)/10^5</f>
        <v>3.4857809999999998</v>
      </c>
      <c r="J34" s="39">
        <f>SUMIFS(TB_Kochi[Nov],TB_Kochi[MIS_Group1],$B34)/10^5</f>
        <v>1.09571</v>
      </c>
      <c r="K34" s="39">
        <f>SUMIFS(TB_Kochi[Dec],TB_Kochi[MIS_Group1],$B34)/10^5</f>
        <v>2.0937600000000001</v>
      </c>
      <c r="L34" s="39">
        <f>SUMIFS(TB_Kochi[Jan],TB_Kochi[MIS_Group1],$B34)/10^5</f>
        <v>1.4586798999999999</v>
      </c>
      <c r="M34" s="39">
        <f>SUMIFS(TB_Kochi[Feb],TB_Kochi[MIS_Group1],$B34)/10^5</f>
        <v>3.4290939000000003</v>
      </c>
      <c r="N34" s="134">
        <f>SUMIFS(TB_Kochi[Mar],TB_Kochi[MIS_Group1],$B34)/10^5</f>
        <v>9.6397572999999994</v>
      </c>
      <c r="O34" s="96">
        <f t="shared" si="6"/>
        <v>36.508772100000002</v>
      </c>
      <c r="P34" s="23">
        <v>34.893018446514333</v>
      </c>
      <c r="Q34" s="109"/>
      <c r="R34" s="134">
        <f>SUMIFS(TB_Kochi[Apr_26],TB_Kochi[MIS_Group1],$B34)/10^5</f>
        <v>5.2700100000000001</v>
      </c>
      <c r="S34" s="134">
        <f>SUMIFS(TB_Kochi!AB:AB,TB_Kochi!J:J,$B34)/10^5</f>
        <v>1.65998</v>
      </c>
      <c r="T34" s="134"/>
      <c r="U34" s="149">
        <f t="shared" si="1"/>
        <v>7.9571180909647161</v>
      </c>
      <c r="V34" s="149">
        <f t="shared" si="2"/>
        <v>-0.45330470093889186</v>
      </c>
      <c r="W34" s="149" t="str">
        <f t="shared" si="3"/>
        <v>-</v>
      </c>
    </row>
    <row r="35" spans="2:24" x14ac:dyDescent="0.35">
      <c r="B35" s="12" t="s">
        <v>270</v>
      </c>
      <c r="C35" s="134">
        <f>SUMIFS(TB_Kochi[Apr],TB_Kochi[MIS_Group1],$B35)/10^5</f>
        <v>2.3950228999999998</v>
      </c>
      <c r="D35" s="39">
        <f>SUMIFS(TB_Kochi[May],TB_Kochi[MIS_Group1],$B35)/10^5</f>
        <v>2.3361630999999998</v>
      </c>
      <c r="E35" s="39">
        <f>SUMIFS(TB_Kochi[Jun],TB_Kochi[MIS_Group1],$B35)/10^5</f>
        <v>3.4022804000000004</v>
      </c>
      <c r="F35" s="39">
        <f>SUMIFS(TB_Kochi[Jul],TB_Kochi[MIS_Group1],$B35)/10^5</f>
        <v>6.8056593999999997</v>
      </c>
      <c r="G35" s="39">
        <f>SUMIFS(TB_Kochi[Aug],TB_Kochi[MIS_Group1],$B35)/10^5</f>
        <v>12.5429929</v>
      </c>
      <c r="H35" s="39">
        <f>SUMIFS(TB_Kochi[Sep],TB_Kochi[MIS_Group1],$B35)/10^5</f>
        <v>6.171818</v>
      </c>
      <c r="I35" s="39">
        <f>SUMIFS(TB_Kochi[Oct],TB_Kochi[MIS_Group1],$B35)/10^5</f>
        <v>8.1020856000000006</v>
      </c>
      <c r="J35" s="39">
        <f>SUMIFS(TB_Kochi[Nov],TB_Kochi[MIS_Group1],$B35)/10^5</f>
        <v>25.883638000000001</v>
      </c>
      <c r="K35" s="39">
        <f>SUMIFS(TB_Kochi[Dec],TB_Kochi[MIS_Group1],$B35)/10^5</f>
        <v>11.296048899999999</v>
      </c>
      <c r="L35" s="39">
        <f>SUMIFS(TB_Kochi[Jan],TB_Kochi[MIS_Group1],$B35)/10^5</f>
        <v>9.4450407999999992</v>
      </c>
      <c r="M35" s="39">
        <f>SUMIFS(TB_Kochi[Feb],TB_Kochi[MIS_Group1],$B35)/10^5</f>
        <v>5.6722984000000007</v>
      </c>
      <c r="N35" s="134">
        <f>SUMIFS(TB_Kochi[Mar],TB_Kochi[MIS_Group1],$B35)/10^5</f>
        <v>23.638439900000002</v>
      </c>
      <c r="O35" s="96">
        <f t="shared" si="6"/>
        <v>117.6914883</v>
      </c>
      <c r="P35" s="23">
        <v>148.50956876874613</v>
      </c>
      <c r="Q35" s="109"/>
      <c r="R35" s="134">
        <f>SUMIFS(TB_Kochi[Apr_26],TB_Kochi[MIS_Group1],$B35)/10^5</f>
        <v>4.4549678999999998</v>
      </c>
      <c r="S35" s="134">
        <f>SUMIFS(TB_Kochi!AB:AB,TB_Kochi!J:J,$B35)/10^5</f>
        <v>6.8408593999999994</v>
      </c>
      <c r="T35" s="134"/>
      <c r="U35" s="149">
        <f t="shared" si="1"/>
        <v>0.86009407258694681</v>
      </c>
      <c r="V35" s="149">
        <f t="shared" si="2"/>
        <v>-0.81153714378587227</v>
      </c>
      <c r="W35" s="149" t="str">
        <f t="shared" si="3"/>
        <v>-</v>
      </c>
    </row>
    <row r="36" spans="2:24" x14ac:dyDescent="0.35">
      <c r="B36" s="12" t="s">
        <v>503</v>
      </c>
      <c r="C36" s="134">
        <f>SUMIFS(TB_Kochi[Apr],TB_Kochi[MIS_Group1],$B36)/10^5</f>
        <v>7.623333333333334</v>
      </c>
      <c r="D36" s="39">
        <f>SUMIFS(TB_Kochi[May],TB_Kochi[MIS_Group1],$B36)/10^5</f>
        <v>8.4198233333333334</v>
      </c>
      <c r="E36" s="39">
        <f>SUMIFS(TB_Kochi[Jun],TB_Kochi[MIS_Group1],$B36)/10^5</f>
        <v>10.581563333333335</v>
      </c>
      <c r="F36" s="39">
        <f>SUMIFS(TB_Kochi[Jul],TB_Kochi[MIS_Group1],$B36)/10^5</f>
        <v>10.073333333333334</v>
      </c>
      <c r="G36" s="39">
        <f>SUMIFS(TB_Kochi[Aug],TB_Kochi[MIS_Group1],$B36)/10^5</f>
        <v>8.8683333333333341</v>
      </c>
      <c r="H36" s="39">
        <f>SUMIFS(TB_Kochi[Sep],TB_Kochi[MIS_Group1],$B36)/10^5</f>
        <v>10.170893333333334</v>
      </c>
      <c r="I36" s="39">
        <f>SUMIFS(TB_Kochi[Oct],TB_Kochi[MIS_Group1],$B36)/10^5</f>
        <v>9.0244733333333329</v>
      </c>
      <c r="J36" s="39">
        <f>SUMIFS(TB_Kochi[Nov],TB_Kochi[MIS_Group1],$B36)/10^5</f>
        <v>7.623333333333334</v>
      </c>
      <c r="K36" s="39">
        <f>SUMIFS(TB_Kochi[Dec],TB_Kochi[MIS_Group1],$B36)/10^5</f>
        <v>30.194143333333336</v>
      </c>
      <c r="L36" s="39">
        <f>SUMIFS(TB_Kochi[Jan],TB_Kochi[MIS_Group1],$B36)/10^5</f>
        <v>7.623333333333334</v>
      </c>
      <c r="M36" s="39">
        <f>SUMIFS(TB_Kochi[Feb],TB_Kochi[MIS_Group1],$B36)/10^5</f>
        <v>9.6233333333333331</v>
      </c>
      <c r="N36" s="134">
        <f>SUMIFS(TB_Kochi[Mar],TB_Kochi[MIS_Group1],$B36)/10^5</f>
        <v>27.395973333333334</v>
      </c>
      <c r="O36" s="96">
        <f t="shared" si="6"/>
        <v>147.22187</v>
      </c>
      <c r="P36" s="23">
        <v>110.0021824150685</v>
      </c>
      <c r="Q36" s="109"/>
      <c r="R36" s="134">
        <f>SUMIFS(TB_Kochi[Apr_26],TB_Kochi[MIS_Group1],$B36)/10^5</f>
        <v>15</v>
      </c>
      <c r="S36" s="134">
        <f>SUMIFS(TB_Kochi!AB:AB,TB_Kochi!J:J,$B36)/10^5</f>
        <v>15</v>
      </c>
      <c r="T36" s="134"/>
      <c r="U36" s="149">
        <f t="shared" si="1"/>
        <v>0.9676432006996063</v>
      </c>
      <c r="V36" s="149">
        <f t="shared" si="2"/>
        <v>-0.45247428089188779</v>
      </c>
      <c r="W36" s="149" t="str">
        <f t="shared" si="3"/>
        <v>-</v>
      </c>
    </row>
    <row r="37" spans="2:24" x14ac:dyDescent="0.35">
      <c r="B37" s="22" t="s">
        <v>492</v>
      </c>
      <c r="C37" s="124">
        <f t="shared" ref="C37:P37" si="7">SUM(C17:C36)</f>
        <v>2310.9809890157608</v>
      </c>
      <c r="D37" s="41">
        <f t="shared" si="7"/>
        <v>2684.9051701403123</v>
      </c>
      <c r="E37" s="41">
        <f t="shared" si="7"/>
        <v>2688.2236777154635</v>
      </c>
      <c r="F37" s="41">
        <f t="shared" si="7"/>
        <v>2890.0434422950129</v>
      </c>
      <c r="G37" s="41">
        <f t="shared" si="7"/>
        <v>2839.2529722100139</v>
      </c>
      <c r="H37" s="41">
        <f t="shared" si="7"/>
        <v>2881.0929143551139</v>
      </c>
      <c r="I37" s="41">
        <f t="shared" si="7"/>
        <v>2941.2050883600123</v>
      </c>
      <c r="J37" s="41">
        <f t="shared" si="7"/>
        <v>2654.9611913051117</v>
      </c>
      <c r="K37" s="41">
        <f t="shared" si="7"/>
        <v>2797.4151614900129</v>
      </c>
      <c r="L37" s="41">
        <f t="shared" si="7"/>
        <v>2839.1016007400121</v>
      </c>
      <c r="M37" s="41">
        <f t="shared" si="7"/>
        <v>2998.2505832853121</v>
      </c>
      <c r="N37" s="124">
        <f t="shared" si="7"/>
        <v>3047.0414159037969</v>
      </c>
      <c r="O37" s="41">
        <f t="shared" si="7"/>
        <v>33572.474206815939</v>
      </c>
      <c r="P37" s="41">
        <f t="shared" si="7"/>
        <v>38278.697980844983</v>
      </c>
      <c r="Q37" s="109"/>
      <c r="R37" s="124">
        <f>SUM(R17:R36)</f>
        <v>2953.2181759766804</v>
      </c>
      <c r="S37" s="124">
        <f>SUM(S17:S36)</f>
        <v>2984.37795605668</v>
      </c>
      <c r="T37" s="124">
        <f>SUM(T17:T36)</f>
        <v>0</v>
      </c>
      <c r="U37" s="156">
        <f t="shared" si="1"/>
        <v>0.27790673744765271</v>
      </c>
      <c r="V37" s="156">
        <f t="shared" si="2"/>
        <v>-3.079158669698856E-2</v>
      </c>
      <c r="W37" s="156" t="str">
        <f t="shared" si="3"/>
        <v>-</v>
      </c>
    </row>
    <row r="38" spans="2:24" ht="4.5" customHeight="1" x14ac:dyDescent="0.35">
      <c r="C38" s="134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134"/>
      <c r="O38" s="96"/>
      <c r="P38" s="23">
        <f>SUMIFS(PL_Consol!Q:Q,PL_Consol!B:B,PL_Kochi!B38)-SUMIFS(PL_Calicut!P:P,PL_Calicut!B:B,PL_Kochi!B38)-SUMIFS(PL_FNB!P:P,PL_FNB!B:B,PL_Kochi!B38)</f>
        <v>0</v>
      </c>
      <c r="Q38" s="109"/>
      <c r="R38" s="134"/>
      <c r="S38" s="134"/>
      <c r="T38" s="134"/>
      <c r="U38" s="149" t="str">
        <f t="shared" si="1"/>
        <v>-</v>
      </c>
      <c r="V38" s="149" t="str">
        <f t="shared" si="2"/>
        <v>-</v>
      </c>
      <c r="W38" s="149" t="str">
        <f t="shared" si="3"/>
        <v>-</v>
      </c>
    </row>
    <row r="39" spans="2:24" x14ac:dyDescent="0.35">
      <c r="B39" s="8" t="s">
        <v>331</v>
      </c>
      <c r="C39" s="135">
        <f t="shared" ref="C39:P39" si="8">C15-C37</f>
        <v>891.02741948423954</v>
      </c>
      <c r="D39" s="40">
        <f t="shared" si="8"/>
        <v>889.55063595968704</v>
      </c>
      <c r="E39" s="40">
        <f t="shared" si="8"/>
        <v>522.23692758453626</v>
      </c>
      <c r="F39" s="40">
        <f t="shared" si="8"/>
        <v>839.84603320498718</v>
      </c>
      <c r="G39" s="40">
        <f t="shared" si="8"/>
        <v>1006.6425762899858</v>
      </c>
      <c r="H39" s="40">
        <f t="shared" si="8"/>
        <v>892.28072694488583</v>
      </c>
      <c r="I39" s="40">
        <f t="shared" si="8"/>
        <v>824.85563483998749</v>
      </c>
      <c r="J39" s="40">
        <f t="shared" si="8"/>
        <v>702.85330419488855</v>
      </c>
      <c r="K39" s="40">
        <f t="shared" si="8"/>
        <v>749.57865130998744</v>
      </c>
      <c r="L39" s="40">
        <f t="shared" si="8"/>
        <v>1276.3445172599877</v>
      </c>
      <c r="M39" s="40">
        <f t="shared" si="8"/>
        <v>887.3252758146873</v>
      </c>
      <c r="N39" s="135">
        <f t="shared" si="8"/>
        <v>815.381586496203</v>
      </c>
      <c r="O39" s="96">
        <f t="shared" si="8"/>
        <v>10297.923289384053</v>
      </c>
      <c r="P39" s="40">
        <f t="shared" si="8"/>
        <v>9814.8982154151963</v>
      </c>
      <c r="Q39" s="109"/>
      <c r="R39" s="135">
        <f>R15-R37</f>
        <v>1136.0628465233199</v>
      </c>
      <c r="S39" s="135">
        <f>S15-S37</f>
        <v>1247.2425285433201</v>
      </c>
      <c r="T39" s="135">
        <f>T15-T37</f>
        <v>0</v>
      </c>
      <c r="U39" s="153">
        <f t="shared" si="1"/>
        <v>0.27500323972175411</v>
      </c>
      <c r="V39" s="153">
        <f t="shared" si="2"/>
        <v>0.39328979871267933</v>
      </c>
      <c r="W39" s="153" t="str">
        <f t="shared" si="3"/>
        <v>-</v>
      </c>
    </row>
    <row r="40" spans="2:24" x14ac:dyDescent="0.35">
      <c r="B40" s="12" t="s">
        <v>332</v>
      </c>
      <c r="C40" s="134">
        <v>216.90150646522639</v>
      </c>
      <c r="D40" s="39">
        <f>((Depr.!$H$16/PL_Consol!$P$15)*PL_Kochi!$O$15)/12</f>
        <v>15.681444177584034</v>
      </c>
      <c r="E40" s="39">
        <f>((Depr.!$H$16/PL_Consol!$P$15)*PL_Kochi!$O$15)/12</f>
        <v>15.681444177584034</v>
      </c>
      <c r="F40" s="39">
        <f>((Depr.!$H$16/PL_Consol!$P$15)*PL_Kochi!$O$15)/12</f>
        <v>15.681444177584034</v>
      </c>
      <c r="G40" s="39">
        <f>((Depr.!$H$16/PL_Consol!$P$15)*PL_Kochi!$O$15)/12</f>
        <v>15.681444177584034</v>
      </c>
      <c r="H40" s="39">
        <f>((Depr.!$H$16/PL_Consol!$P$15)*PL_Kochi!$O$15)/12</f>
        <v>15.681444177584034</v>
      </c>
      <c r="I40" s="39">
        <f>((Depr.!$H$16/PL_Consol!$P$15)*PL_Kochi!$O$15)/12</f>
        <v>15.681444177584034</v>
      </c>
      <c r="J40" s="39">
        <f>((Depr.!$H$16/PL_Consol!$P$15)*PL_Kochi!$O$15)/12</f>
        <v>15.681444177584034</v>
      </c>
      <c r="K40" s="39">
        <f>((Depr.!$H$16/PL_Consol!$P$15)*PL_Kochi!$O$15)/12</f>
        <v>15.681444177584034</v>
      </c>
      <c r="L40" s="39">
        <f>((Depr.!$H$16/PL_Consol!$P$15)*PL_Kochi!$O$15)/12</f>
        <v>15.681444177584034</v>
      </c>
      <c r="M40" s="39">
        <f>((Depr.!$H$16/PL_Consol!$P$15)*PL_Kochi!$O$15)/12</f>
        <v>15.681444177584034</v>
      </c>
      <c r="N40" s="134">
        <v>216.90150646522639</v>
      </c>
      <c r="O40" s="96">
        <f>SUM(C40:N40)</f>
        <v>590.61745470629296</v>
      </c>
      <c r="P40" s="23">
        <v>2578.2425413862857</v>
      </c>
      <c r="Q40" s="109"/>
      <c r="R40" s="134">
        <v>189.7</v>
      </c>
      <c r="S40" s="134">
        <f>(Depr.!H16/PL_Consol!T15)*PL_Kochi!S15</f>
        <v>188.58235482976494</v>
      </c>
      <c r="T40" s="134"/>
      <c r="U40" s="149">
        <f t="shared" si="1"/>
        <v>-0.12540948612354308</v>
      </c>
      <c r="V40" s="149">
        <f t="shared" si="2"/>
        <v>-0.12540948612354308</v>
      </c>
      <c r="W40" s="149" t="str">
        <f t="shared" si="3"/>
        <v>-</v>
      </c>
      <c r="X40" s="23">
        <v>26383395.999999996</v>
      </c>
    </row>
    <row r="41" spans="2:24" x14ac:dyDescent="0.35">
      <c r="B41" s="8" t="s">
        <v>336</v>
      </c>
      <c r="C41" s="135">
        <f>C39-C40</f>
        <v>674.12591301901318</v>
      </c>
      <c r="D41" s="40">
        <f t="shared" ref="D41:P41" si="9">D39-D40</f>
        <v>873.86919178210303</v>
      </c>
      <c r="E41" s="40">
        <f t="shared" si="9"/>
        <v>506.55548340695225</v>
      </c>
      <c r="F41" s="40">
        <f t="shared" si="9"/>
        <v>824.16458902740317</v>
      </c>
      <c r="G41" s="40">
        <f t="shared" si="9"/>
        <v>990.96113211240174</v>
      </c>
      <c r="H41" s="40">
        <f t="shared" si="9"/>
        <v>876.59928276730182</v>
      </c>
      <c r="I41" s="40">
        <f t="shared" si="9"/>
        <v>809.17419066240348</v>
      </c>
      <c r="J41" s="40">
        <f t="shared" si="9"/>
        <v>687.17186001730454</v>
      </c>
      <c r="K41" s="40">
        <f t="shared" si="9"/>
        <v>733.89720713240342</v>
      </c>
      <c r="L41" s="40">
        <f t="shared" si="9"/>
        <v>1260.6630730824036</v>
      </c>
      <c r="M41" s="40">
        <f t="shared" si="9"/>
        <v>871.64383163710329</v>
      </c>
      <c r="N41" s="135">
        <f t="shared" si="9"/>
        <v>598.48008003097664</v>
      </c>
      <c r="O41" s="96">
        <f t="shared" si="9"/>
        <v>9707.3058346777598</v>
      </c>
      <c r="P41" s="40">
        <f t="shared" si="9"/>
        <v>7236.6556740289107</v>
      </c>
      <c r="Q41" s="109"/>
      <c r="R41" s="135">
        <f>R39-R40</f>
        <v>946.36284652331983</v>
      </c>
      <c r="S41" s="135">
        <f>S39-S40</f>
        <v>1058.6601737135552</v>
      </c>
      <c r="T41" s="135">
        <f>T39-T40</f>
        <v>0</v>
      </c>
      <c r="U41" s="153">
        <f t="shared" si="1"/>
        <v>0.40383692162954787</v>
      </c>
      <c r="V41" s="153">
        <f t="shared" si="2"/>
        <v>0.58127710194520965</v>
      </c>
      <c r="W41" s="153" t="str">
        <f t="shared" si="3"/>
        <v>-</v>
      </c>
    </row>
    <row r="42" spans="2:24" x14ac:dyDescent="0.35">
      <c r="B42" s="12" t="s">
        <v>204</v>
      </c>
      <c r="C42" s="134">
        <f>SUMIFS(TB_Kochi[Apr],TB_Kochi[MIS_Group1],$B42)/10^5</f>
        <v>0.34893619999999997</v>
      </c>
      <c r="D42" s="39">
        <f>SUMIFS(TB_Kochi[May],TB_Kochi[MIS_Group1],$B42)/10^5</f>
        <v>5.6549662999999999</v>
      </c>
      <c r="E42" s="39">
        <f>SUMIFS(TB_Kochi[Jun],TB_Kochi[MIS_Group1],$B42)/10^5</f>
        <v>7.3311816000000007</v>
      </c>
      <c r="F42" s="39">
        <f>SUMIFS(TB_Kochi[Jul],TB_Kochi[MIS_Group1],$B42)/10^5</f>
        <v>7.262723199999999</v>
      </c>
      <c r="G42" s="39">
        <f>SUMIFS(TB_Kochi[Aug],TB_Kochi[MIS_Group1],$B42)/10^5</f>
        <v>7.1569921999999995</v>
      </c>
      <c r="H42" s="39">
        <f>SUMIFS(TB_Kochi[Sep],TB_Kochi[MIS_Group1],$B42)/10^5</f>
        <v>6.4875597999999997</v>
      </c>
      <c r="I42" s="39">
        <f>SUMIFS(TB_Kochi[Oct],TB_Kochi[MIS_Group1],$B42)/10^5</f>
        <v>2.5778316000000001</v>
      </c>
      <c r="J42" s="39">
        <f>SUMIFS(TB_Kochi[Nov],TB_Kochi[MIS_Group1],$B42)/10^5</f>
        <v>3.2429630999999999</v>
      </c>
      <c r="K42" s="39">
        <f>SUMIFS(TB_Kochi[Dec],TB_Kochi[MIS_Group1],$B42)/10^5</f>
        <v>2.6124810999999997</v>
      </c>
      <c r="L42" s="39">
        <f>SUMIFS(TB_Kochi[Jan],TB_Kochi[MIS_Group1],$B42)/10^5</f>
        <v>2.6509742000000003</v>
      </c>
      <c r="M42" s="39">
        <f>SUMIFS(TB_Kochi[Feb],TB_Kochi[MIS_Group1],$B42)/10^5</f>
        <v>2.3908274999999999</v>
      </c>
      <c r="N42" s="134">
        <f>SUMIFS(TB_Kochi[Mar],TB_Kochi[MIS_Group1],$B42)/10^5</f>
        <v>13.231441400000001</v>
      </c>
      <c r="O42" s="96">
        <f>SUM(C42:N42)</f>
        <v>60.948878199999996</v>
      </c>
      <c r="P42" s="23">
        <v>59.96907812021918</v>
      </c>
      <c r="Q42" s="109"/>
      <c r="R42" s="134">
        <f>SUMIFS(TB_Kochi[Apr_26],TB_Kochi[MIS_Group1],$B42)/10^5</f>
        <v>1.7556128</v>
      </c>
      <c r="S42" s="134">
        <f>SUMIFS(TB_Kochi!AB:AB,TB_Kochi!J:J,$B42)/10^5</f>
        <v>2.1584159000000001</v>
      </c>
      <c r="T42" s="134"/>
      <c r="U42" s="149">
        <f t="shared" si="1"/>
        <v>4.0313289363499694</v>
      </c>
      <c r="V42" s="149">
        <f t="shared" si="2"/>
        <v>-0.86731507574072775</v>
      </c>
      <c r="W42" s="149" t="str">
        <f t="shared" si="3"/>
        <v>-</v>
      </c>
    </row>
    <row r="43" spans="2:24" x14ac:dyDescent="0.35">
      <c r="B43" s="27" t="s">
        <v>333</v>
      </c>
      <c r="C43" s="135">
        <f>C41-C42</f>
        <v>673.77697681901316</v>
      </c>
      <c r="D43" s="40">
        <f t="shared" ref="D43:P43" si="10">D41-D42</f>
        <v>868.21422548210307</v>
      </c>
      <c r="E43" s="40">
        <f t="shared" si="10"/>
        <v>499.22430180695227</v>
      </c>
      <c r="F43" s="40">
        <f t="shared" si="10"/>
        <v>816.90186582740318</v>
      </c>
      <c r="G43" s="40">
        <f t="shared" si="10"/>
        <v>983.80413991240175</v>
      </c>
      <c r="H43" s="40">
        <f t="shared" si="10"/>
        <v>870.11172296730183</v>
      </c>
      <c r="I43" s="40">
        <f t="shared" si="10"/>
        <v>806.59635906240351</v>
      </c>
      <c r="J43" s="40">
        <f t="shared" si="10"/>
        <v>683.92889691730454</v>
      </c>
      <c r="K43" s="40">
        <f t="shared" si="10"/>
        <v>731.28472603240346</v>
      </c>
      <c r="L43" s="40">
        <f t="shared" si="10"/>
        <v>1258.0120988824035</v>
      </c>
      <c r="M43" s="40">
        <f t="shared" si="10"/>
        <v>869.25300413710329</v>
      </c>
      <c r="N43" s="135">
        <f t="shared" si="10"/>
        <v>585.24863863097664</v>
      </c>
      <c r="O43" s="96">
        <f t="shared" si="10"/>
        <v>9646.356956477759</v>
      </c>
      <c r="P43" s="40">
        <f t="shared" si="10"/>
        <v>7176.6865959086917</v>
      </c>
      <c r="Q43" s="109"/>
      <c r="R43" s="135">
        <f>R41-R42</f>
        <v>944.60723372331984</v>
      </c>
      <c r="S43" s="135">
        <f>S41-S42</f>
        <v>1056.5017578135553</v>
      </c>
      <c r="T43" s="135">
        <f>T41-T42</f>
        <v>0</v>
      </c>
      <c r="U43" s="153">
        <f t="shared" si="1"/>
        <v>0.40195831294641549</v>
      </c>
      <c r="V43" s="153">
        <f t="shared" si="2"/>
        <v>0.614027220862847</v>
      </c>
      <c r="W43" s="153" t="str">
        <f t="shared" si="3"/>
        <v>-</v>
      </c>
    </row>
    <row r="44" spans="2:24" x14ac:dyDescent="0.35">
      <c r="B44" s="12" t="s">
        <v>334</v>
      </c>
      <c r="C44" s="134">
        <f>IF(C43&gt;0,C43*PL_Consol!$R$44/PL_Consol!$R$43,0)</f>
        <v>174.35553988547886</v>
      </c>
      <c r="D44" s="39">
        <f>IF(D43&gt;0,D43*PL_Consol!$R$44/PL_Consol!$R$43,0)</f>
        <v>224.67072225420875</v>
      </c>
      <c r="E44" s="39">
        <f>IF(E43&gt;0,E43*PL_Consol!$R$44/PL_Consol!$R$43,0)</f>
        <v>129.18595567993614</v>
      </c>
      <c r="F44" s="39">
        <f>IF(F43&gt;0,F43*PL_Consol!$R$44/PL_Consol!$R$43,0)</f>
        <v>211.39244995017268</v>
      </c>
      <c r="G44" s="39">
        <f>IF(G43&gt;0,G43*PL_Consol!$R$44/PL_Consol!$R$43,0)</f>
        <v>254.58231411500432</v>
      </c>
      <c r="H44" s="39">
        <f>IF(H43&gt;0,H43*PL_Consol!$R$44/PL_Consol!$R$43,0)</f>
        <v>225.16174407573953</v>
      </c>
      <c r="I44" s="39">
        <f>IF(I43&gt;0,I43*PL_Consol!$R$44/PL_Consol!$R$43,0)</f>
        <v>208.72565922026675</v>
      </c>
      <c r="J44" s="39">
        <f>IF(J43&gt;0,J43*PL_Consol!$R$44/PL_Consol!$R$43,0)</f>
        <v>176.98258647583347</v>
      </c>
      <c r="K44" s="39">
        <f>IF(K43&gt;0,K43*PL_Consol!$R$44/PL_Consol!$R$43,0)</f>
        <v>189.23701403295885</v>
      </c>
      <c r="L44" s="39">
        <f>IF(L43&gt;0,L43*PL_Consol!$R$44/PL_Consol!$R$43,0)</f>
        <v>325.54003213146939</v>
      </c>
      <c r="M44" s="39">
        <f>IF(M43&gt;0,M43*PL_Consol!$R$44/PL_Consol!$R$43,0)</f>
        <v>224.93953050893592</v>
      </c>
      <c r="N44" s="134">
        <f>IF(N43&gt;0,N43*PL_Consol!$R$44/PL_Consol!$R$43,0)</f>
        <v>151.4467633451882</v>
      </c>
      <c r="O44" s="96">
        <f>SUM(C44:N44)</f>
        <v>2496.220311675193</v>
      </c>
      <c r="P44" s="23">
        <v>1758.0089261503895</v>
      </c>
      <c r="Q44" s="109"/>
      <c r="R44" s="134">
        <f>IF(R43&gt;0,R43*PL_Consol!$R$44/PL_Consol!$R$43,0)</f>
        <v>244.4391985507074</v>
      </c>
      <c r="S44" s="134">
        <f>IF(S43&gt;0,S43*PL_Consol!$R$44/PL_Consol!$R$43,0)</f>
        <v>273.39452179444334</v>
      </c>
      <c r="T44" s="134">
        <f>IF(T43&gt;0,T43*PL_Consol!$R$44/PL_Consol!$R$43,0)</f>
        <v>0</v>
      </c>
      <c r="U44" s="149">
        <f t="shared" si="1"/>
        <v>0.40195831294641549</v>
      </c>
      <c r="V44" s="149">
        <f t="shared" si="2"/>
        <v>0.614027220862847</v>
      </c>
      <c r="W44" s="149" t="str">
        <f t="shared" si="3"/>
        <v>-</v>
      </c>
    </row>
    <row r="45" spans="2:24" x14ac:dyDescent="0.35">
      <c r="B45" s="44" t="s">
        <v>335</v>
      </c>
      <c r="C45" s="136">
        <f>C43-C44</f>
        <v>499.42143693353432</v>
      </c>
      <c r="D45" s="45">
        <f t="shared" ref="D45:P45" si="11">D43-D44</f>
        <v>643.54350322789435</v>
      </c>
      <c r="E45" s="45">
        <f t="shared" si="11"/>
        <v>370.0383461270161</v>
      </c>
      <c r="F45" s="45">
        <f t="shared" si="11"/>
        <v>605.50941587723048</v>
      </c>
      <c r="G45" s="45">
        <f t="shared" si="11"/>
        <v>729.2218257973974</v>
      </c>
      <c r="H45" s="45">
        <f t="shared" si="11"/>
        <v>644.9499788915623</v>
      </c>
      <c r="I45" s="45">
        <f t="shared" si="11"/>
        <v>597.87069984213679</v>
      </c>
      <c r="J45" s="45">
        <f t="shared" si="11"/>
        <v>506.94631044147104</v>
      </c>
      <c r="K45" s="45">
        <f t="shared" si="11"/>
        <v>542.04771199944457</v>
      </c>
      <c r="L45" s="45">
        <f t="shared" si="11"/>
        <v>932.47206675093412</v>
      </c>
      <c r="M45" s="45">
        <f t="shared" si="11"/>
        <v>644.31347362816734</v>
      </c>
      <c r="N45" s="136">
        <f t="shared" si="11"/>
        <v>433.80187528578847</v>
      </c>
      <c r="O45" s="97">
        <f t="shared" si="11"/>
        <v>7150.1366448025656</v>
      </c>
      <c r="P45" s="45">
        <f t="shared" si="11"/>
        <v>5418.6776697583027</v>
      </c>
      <c r="Q45" s="109"/>
      <c r="R45" s="136">
        <f>R43-R44</f>
        <v>700.16803517261246</v>
      </c>
      <c r="S45" s="136">
        <f>S43-S44</f>
        <v>783.10723601911195</v>
      </c>
      <c r="T45" s="136">
        <f>T43-T44</f>
        <v>0</v>
      </c>
      <c r="U45" s="154">
        <f t="shared" si="1"/>
        <v>0.40195831294641549</v>
      </c>
      <c r="V45" s="154">
        <f t="shared" si="2"/>
        <v>0.61402722086284678</v>
      </c>
      <c r="W45" s="154" t="str">
        <f t="shared" si="3"/>
        <v>-</v>
      </c>
    </row>
    <row r="46" spans="2:24" x14ac:dyDescent="0.35">
      <c r="B46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  <c r="P46" s="23"/>
      <c r="Q46" s="23"/>
      <c r="R46" s="39"/>
      <c r="S46" s="39"/>
      <c r="T46" s="39"/>
    </row>
    <row r="47" spans="2:24" x14ac:dyDescent="0.35">
      <c r="B47"/>
      <c r="C47" s="5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40"/>
      <c r="P47" s="23"/>
      <c r="Q47" s="23"/>
      <c r="R47" s="134">
        <f>S40+PL_Calicut!S36+PL_FNB!S24</f>
        <v>197.24263350025825</v>
      </c>
      <c r="S47" s="51"/>
      <c r="T47" s="51"/>
    </row>
    <row r="48" spans="2:24" x14ac:dyDescent="0.35">
      <c r="B4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40"/>
      <c r="P48" s="23"/>
      <c r="Q48" s="23"/>
      <c r="R48" s="39"/>
      <c r="S48" s="39"/>
      <c r="T48" s="39"/>
    </row>
    <row r="49" spans="2:23" x14ac:dyDescent="0.35">
      <c r="H49" s="39"/>
      <c r="I49" s="39"/>
      <c r="J49" s="39"/>
      <c r="K49" s="39"/>
      <c r="L49" s="39"/>
      <c r="M49" s="39"/>
      <c r="N49" s="39"/>
      <c r="O49" s="39"/>
      <c r="P49" s="23"/>
      <c r="Q49" s="23"/>
    </row>
    <row r="50" spans="2:23" ht="15" thickBot="1" x14ac:dyDescent="0.4">
      <c r="B50" s="30" t="s">
        <v>612</v>
      </c>
      <c r="C50" s="31"/>
      <c r="D50" s="31"/>
      <c r="E50" s="32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2:23" x14ac:dyDescent="0.35">
      <c r="T51" s="138" t="s">
        <v>613</v>
      </c>
    </row>
    <row r="52" spans="2:23" x14ac:dyDescent="0.35">
      <c r="B52" s="33" t="s">
        <v>466</v>
      </c>
      <c r="C52" s="132">
        <v>45748</v>
      </c>
      <c r="D52" s="132">
        <v>45778</v>
      </c>
      <c r="E52" s="132">
        <v>45809</v>
      </c>
      <c r="F52" s="132">
        <v>45839</v>
      </c>
      <c r="G52" s="132">
        <v>45870</v>
      </c>
      <c r="H52" s="132">
        <v>45901</v>
      </c>
      <c r="I52" s="132">
        <v>45931</v>
      </c>
      <c r="J52" s="132">
        <v>45962</v>
      </c>
      <c r="K52" s="132">
        <v>45992</v>
      </c>
      <c r="L52" s="132">
        <v>46023</v>
      </c>
      <c r="M52" s="132">
        <v>46054</v>
      </c>
      <c r="N52" s="132">
        <v>46082</v>
      </c>
      <c r="O52" s="34" t="s">
        <v>219</v>
      </c>
      <c r="P52" s="34" t="s">
        <v>613</v>
      </c>
      <c r="Q52" s="34" t="s">
        <v>614</v>
      </c>
      <c r="R52" s="132">
        <v>46113</v>
      </c>
      <c r="S52" s="132"/>
      <c r="T52" s="132">
        <v>46113</v>
      </c>
    </row>
    <row r="53" spans="2:23" x14ac:dyDescent="0.35">
      <c r="B53" s="8" t="s">
        <v>220</v>
      </c>
      <c r="O53" s="95"/>
      <c r="Q53" s="101"/>
    </row>
    <row r="54" spans="2:23" x14ac:dyDescent="0.35">
      <c r="B54" s="12" t="s">
        <v>203</v>
      </c>
      <c r="C54" s="51">
        <f>IFERROR(C7/C$15,0)</f>
        <v>0.4022713794194584</v>
      </c>
      <c r="D54" s="51">
        <f t="shared" ref="D54:Q54" si="12">IFERROR(D7/D$15,0)</f>
        <v>0.38861787403537934</v>
      </c>
      <c r="E54" s="51">
        <f t="shared" si="12"/>
        <v>0.38708111317375155</v>
      </c>
      <c r="F54" s="51">
        <f t="shared" si="12"/>
        <v>0.3869421593267261</v>
      </c>
      <c r="G54" s="51">
        <f t="shared" si="12"/>
        <v>0.41174884092149183</v>
      </c>
      <c r="H54" s="51">
        <f t="shared" si="12"/>
        <v>0.39882522409880594</v>
      </c>
      <c r="I54" s="51">
        <f t="shared" si="12"/>
        <v>0.41262124551714935</v>
      </c>
      <c r="J54" s="51">
        <f t="shared" si="12"/>
        <v>0.41756114209972739</v>
      </c>
      <c r="K54" s="51">
        <f t="shared" si="12"/>
        <v>0.41623353640263233</v>
      </c>
      <c r="L54" s="51">
        <f t="shared" si="12"/>
        <v>0.41724534963283405</v>
      </c>
      <c r="M54" s="51">
        <f t="shared" si="12"/>
        <v>0.40382975880528732</v>
      </c>
      <c r="N54" s="51">
        <f t="shared" si="12"/>
        <v>0.3589781248813122</v>
      </c>
      <c r="O54" s="99">
        <f t="shared" si="12"/>
        <v>0.40019715152616864</v>
      </c>
      <c r="P54" s="51">
        <f t="shared" si="12"/>
        <v>0.41940635711053142</v>
      </c>
      <c r="Q54" s="104">
        <f t="shared" si="12"/>
        <v>0</v>
      </c>
      <c r="R54" s="51">
        <f>IFERROR(R7/R$15,0)</f>
        <v>0.4211913202646615</v>
      </c>
      <c r="S54" s="51"/>
      <c r="T54" s="51">
        <f t="shared" ref="T54:T92" si="13">IFERROR(T7/T$15,0)</f>
        <v>0</v>
      </c>
    </row>
    <row r="55" spans="2:23" x14ac:dyDescent="0.35">
      <c r="B55" s="12" t="s">
        <v>200</v>
      </c>
      <c r="C55" s="51">
        <f t="shared" ref="C55:Q55" si="14">IFERROR(C8/C$15,0)</f>
        <v>0.30037358345056953</v>
      </c>
      <c r="D55" s="51">
        <f t="shared" si="14"/>
        <v>0.3166464007663648</v>
      </c>
      <c r="E55" s="51">
        <f t="shared" si="14"/>
        <v>0.31764885606023674</v>
      </c>
      <c r="F55" s="51">
        <f t="shared" si="14"/>
        <v>0.32456405026256652</v>
      </c>
      <c r="G55" s="51">
        <f t="shared" si="14"/>
        <v>0.30429978433929383</v>
      </c>
      <c r="H55" s="51">
        <f t="shared" si="14"/>
        <v>0.32668697952617992</v>
      </c>
      <c r="I55" s="51">
        <f t="shared" si="14"/>
        <v>0.30842257679080859</v>
      </c>
      <c r="J55" s="51">
        <f t="shared" si="14"/>
        <v>0.30258051716722656</v>
      </c>
      <c r="K55" s="51">
        <f t="shared" si="14"/>
        <v>0.31000390991152843</v>
      </c>
      <c r="L55" s="51">
        <f t="shared" si="14"/>
        <v>0.30750860441711175</v>
      </c>
      <c r="M55" s="51">
        <f t="shared" si="14"/>
        <v>0.29355142114358213</v>
      </c>
      <c r="N55" s="51">
        <f t="shared" si="14"/>
        <v>0.30742354554697493</v>
      </c>
      <c r="O55" s="99">
        <f t="shared" si="14"/>
        <v>0.30995210917060462</v>
      </c>
      <c r="P55" s="51">
        <f t="shared" si="14"/>
        <v>0.32481805826764931</v>
      </c>
      <c r="Q55" s="104">
        <f t="shared" si="14"/>
        <v>0</v>
      </c>
      <c r="R55" s="51">
        <f t="shared" ref="R55:R92" si="15">IFERROR(R8/R$15,0)</f>
        <v>0.33473253439138023</v>
      </c>
      <c r="S55" s="51"/>
      <c r="T55" s="51">
        <f t="shared" si="13"/>
        <v>0</v>
      </c>
    </row>
    <row r="56" spans="2:23" x14ac:dyDescent="0.35">
      <c r="B56" s="12" t="s">
        <v>202</v>
      </c>
      <c r="C56" s="51">
        <f t="shared" ref="C56:Q56" si="16">IFERROR(C9/C$15,0)</f>
        <v>0.19521447699533731</v>
      </c>
      <c r="D56" s="51">
        <f t="shared" si="16"/>
        <v>0.18298846165163674</v>
      </c>
      <c r="E56" s="51">
        <f t="shared" si="16"/>
        <v>0.18741398972680307</v>
      </c>
      <c r="F56" s="51">
        <f t="shared" si="16"/>
        <v>0.19585271823693209</v>
      </c>
      <c r="G56" s="51">
        <f t="shared" si="16"/>
        <v>0.18215703005070835</v>
      </c>
      <c r="H56" s="51">
        <f t="shared" si="16"/>
        <v>0.18180186379943483</v>
      </c>
      <c r="I56" s="51">
        <f t="shared" si="16"/>
        <v>0.1805507839560902</v>
      </c>
      <c r="J56" s="51">
        <f t="shared" si="16"/>
        <v>0.18474009652151133</v>
      </c>
      <c r="K56" s="51">
        <f t="shared" si="16"/>
        <v>0.18017290966050933</v>
      </c>
      <c r="L56" s="51">
        <f t="shared" si="16"/>
        <v>0.17784705730898842</v>
      </c>
      <c r="M56" s="51">
        <f t="shared" si="16"/>
        <v>0.16860053839014238</v>
      </c>
      <c r="N56" s="51">
        <f t="shared" si="16"/>
        <v>0.15739944941873052</v>
      </c>
      <c r="O56" s="99">
        <f t="shared" si="16"/>
        <v>0.18081107801877297</v>
      </c>
      <c r="P56" s="51">
        <f t="shared" si="16"/>
        <v>0.16556476973768283</v>
      </c>
      <c r="Q56" s="104">
        <f t="shared" si="16"/>
        <v>0</v>
      </c>
      <c r="R56" s="51">
        <f t="shared" si="15"/>
        <v>0.1520491311012607</v>
      </c>
      <c r="S56" s="51"/>
      <c r="T56" s="51">
        <f t="shared" si="13"/>
        <v>0</v>
      </c>
    </row>
    <row r="57" spans="2:23" x14ac:dyDescent="0.35">
      <c r="B57" s="12" t="s">
        <v>201</v>
      </c>
      <c r="C57" s="51">
        <f t="shared" ref="C57:Q57" si="17">IFERROR(C10/C$15,0)</f>
        <v>9.5264566042441101E-2</v>
      </c>
      <c r="D57" s="51">
        <f t="shared" si="17"/>
        <v>9.2325438864516066E-2</v>
      </c>
      <c r="E57" s="51">
        <f t="shared" si="17"/>
        <v>8.8305440076723321E-2</v>
      </c>
      <c r="F57" s="51">
        <f t="shared" si="17"/>
        <v>8.8344343194198219E-2</v>
      </c>
      <c r="G57" s="51">
        <f t="shared" si="17"/>
        <v>9.5565329600110424E-2</v>
      </c>
      <c r="H57" s="51">
        <f t="shared" si="17"/>
        <v>8.5920143834021134E-2</v>
      </c>
      <c r="I57" s="51">
        <f t="shared" si="17"/>
        <v>8.6966999199552378E-2</v>
      </c>
      <c r="J57" s="51">
        <f t="shared" si="17"/>
        <v>8.6234454341672248E-2</v>
      </c>
      <c r="K57" s="51">
        <f t="shared" si="17"/>
        <v>8.9746024211051864E-2</v>
      </c>
      <c r="L57" s="51">
        <f t="shared" si="17"/>
        <v>8.5153437890302594E-2</v>
      </c>
      <c r="M57" s="51">
        <f t="shared" si="17"/>
        <v>8.0473478227864575E-2</v>
      </c>
      <c r="N57" s="51">
        <f t="shared" si="17"/>
        <v>8.4698175548541532E-2</v>
      </c>
      <c r="O57" s="99">
        <f t="shared" si="17"/>
        <v>8.8111607868035041E-2</v>
      </c>
      <c r="P57" s="51">
        <f t="shared" si="17"/>
        <v>7.9941638566362244E-2</v>
      </c>
      <c r="Q57" s="104">
        <f t="shared" si="17"/>
        <v>0</v>
      </c>
      <c r="R57" s="51">
        <f t="shared" si="15"/>
        <v>8.0015211231426187E-2</v>
      </c>
      <c r="S57" s="51"/>
      <c r="T57" s="51">
        <f t="shared" si="13"/>
        <v>0</v>
      </c>
    </row>
    <row r="58" spans="2:23" x14ac:dyDescent="0.35">
      <c r="B58" s="12" t="s">
        <v>221</v>
      </c>
      <c r="C58" s="51">
        <f t="shared" ref="C58:Q58" si="18">IFERROR(C11/C$15,0)</f>
        <v>0</v>
      </c>
      <c r="D58" s="51">
        <f t="shared" si="18"/>
        <v>0</v>
      </c>
      <c r="E58" s="51">
        <f t="shared" si="18"/>
        <v>0</v>
      </c>
      <c r="F58" s="51">
        <f t="shared" si="18"/>
        <v>0</v>
      </c>
      <c r="G58" s="51">
        <f t="shared" si="18"/>
        <v>0</v>
      </c>
      <c r="H58" s="51">
        <f t="shared" si="18"/>
        <v>0</v>
      </c>
      <c r="I58" s="51">
        <f t="shared" si="18"/>
        <v>0</v>
      </c>
      <c r="J58" s="51">
        <f t="shared" si="18"/>
        <v>0</v>
      </c>
      <c r="K58" s="51">
        <f t="shared" si="18"/>
        <v>0</v>
      </c>
      <c r="L58" s="51">
        <f t="shared" si="18"/>
        <v>0</v>
      </c>
      <c r="M58" s="51">
        <f t="shared" si="18"/>
        <v>0</v>
      </c>
      <c r="N58" s="51">
        <f t="shared" si="18"/>
        <v>0</v>
      </c>
      <c r="O58" s="99">
        <f t="shared" si="18"/>
        <v>0</v>
      </c>
      <c r="P58" s="51">
        <f t="shared" si="18"/>
        <v>0</v>
      </c>
      <c r="Q58" s="104">
        <f t="shared" si="18"/>
        <v>0</v>
      </c>
      <c r="R58" s="51">
        <f t="shared" si="15"/>
        <v>0</v>
      </c>
      <c r="S58" s="51"/>
      <c r="T58" s="51">
        <f t="shared" si="13"/>
        <v>0</v>
      </c>
    </row>
    <row r="59" spans="2:23" x14ac:dyDescent="0.35">
      <c r="B59" s="12" t="s">
        <v>261</v>
      </c>
      <c r="C59" s="51">
        <f t="shared" ref="C59:Q59" si="19">IFERROR(C12/C$15,0)</f>
        <v>0</v>
      </c>
      <c r="D59" s="51">
        <f t="shared" si="19"/>
        <v>0</v>
      </c>
      <c r="E59" s="51">
        <f t="shared" si="19"/>
        <v>0</v>
      </c>
      <c r="F59" s="51">
        <f t="shared" si="19"/>
        <v>3.497422667799369E-4</v>
      </c>
      <c r="G59" s="51">
        <f t="shared" si="19"/>
        <v>5.1106432174597067E-4</v>
      </c>
      <c r="H59" s="51">
        <f t="shared" si="19"/>
        <v>7.4469169160568509E-5</v>
      </c>
      <c r="I59" s="51">
        <f t="shared" si="19"/>
        <v>1.3010942627171711E-4</v>
      </c>
      <c r="J59" s="51">
        <f t="shared" si="19"/>
        <v>1.2359229509437323E-4</v>
      </c>
      <c r="K59" s="51">
        <f t="shared" si="19"/>
        <v>1.322246456442987E-4</v>
      </c>
      <c r="L59" s="51">
        <f t="shared" si="19"/>
        <v>5.7830911443365423E-5</v>
      </c>
      <c r="M59" s="51">
        <f t="shared" si="19"/>
        <v>6.0796651144192824E-5</v>
      </c>
      <c r="N59" s="51">
        <f t="shared" si="19"/>
        <v>1.6155661863350134E-4</v>
      </c>
      <c r="O59" s="99">
        <f t="shared" si="19"/>
        <v>1.37295997842776E-4</v>
      </c>
      <c r="P59" s="51">
        <f t="shared" si="19"/>
        <v>0</v>
      </c>
      <c r="Q59" s="104">
        <f t="shared" si="19"/>
        <v>0</v>
      </c>
      <c r="R59" s="51">
        <f t="shared" si="15"/>
        <v>1.5039318565198951E-5</v>
      </c>
      <c r="S59" s="51"/>
      <c r="T59" s="51">
        <f t="shared" si="13"/>
        <v>0</v>
      </c>
    </row>
    <row r="60" spans="2:23" x14ac:dyDescent="0.35">
      <c r="B60" s="8" t="s">
        <v>329</v>
      </c>
      <c r="C60" s="81">
        <f t="shared" ref="C60:Q60" si="20">IFERROR(C13/C$15,0)</f>
        <v>0.99312400590780647</v>
      </c>
      <c r="D60" s="81">
        <f t="shared" si="20"/>
        <v>0.98057817531789682</v>
      </c>
      <c r="E60" s="81">
        <f t="shared" si="20"/>
        <v>0.98044939903751449</v>
      </c>
      <c r="F60" s="81">
        <f t="shared" si="20"/>
        <v>0.99605301328720297</v>
      </c>
      <c r="G60" s="81">
        <f t="shared" si="20"/>
        <v>0.99428204923335028</v>
      </c>
      <c r="H60" s="81">
        <f t="shared" si="20"/>
        <v>0.99330868042760234</v>
      </c>
      <c r="I60" s="81">
        <f t="shared" si="20"/>
        <v>0.98869171488987218</v>
      </c>
      <c r="J60" s="81">
        <f t="shared" si="20"/>
        <v>0.99123980242523191</v>
      </c>
      <c r="K60" s="81">
        <f t="shared" si="20"/>
        <v>0.99628860483136616</v>
      </c>
      <c r="L60" s="81">
        <f t="shared" si="20"/>
        <v>0.98781228016068023</v>
      </c>
      <c r="M60" s="81">
        <f t="shared" si="20"/>
        <v>0.9465159932180206</v>
      </c>
      <c r="N60" s="81">
        <f t="shared" si="20"/>
        <v>0.90866085201419255</v>
      </c>
      <c r="O60" s="99">
        <f t="shared" si="20"/>
        <v>0.97920924258142394</v>
      </c>
      <c r="P60" s="81">
        <f t="shared" si="20"/>
        <v>0.98973082368222587</v>
      </c>
      <c r="Q60" s="104">
        <f t="shared" si="20"/>
        <v>0</v>
      </c>
      <c r="R60" s="81">
        <f t="shared" si="15"/>
        <v>0.98800323630729392</v>
      </c>
      <c r="S60" s="81"/>
      <c r="T60" s="81">
        <f t="shared" si="13"/>
        <v>0</v>
      </c>
    </row>
    <row r="61" spans="2:23" x14ac:dyDescent="0.35">
      <c r="B61" s="12" t="s">
        <v>222</v>
      </c>
      <c r="C61" s="51">
        <f t="shared" ref="C61:Q61" si="21">IFERROR(C14/C$15,0)</f>
        <v>6.875994092193527E-3</v>
      </c>
      <c r="D61" s="51">
        <f t="shared" si="21"/>
        <v>1.9421824682103184E-2</v>
      </c>
      <c r="E61" s="51">
        <f t="shared" si="21"/>
        <v>1.9550600962485516E-2</v>
      </c>
      <c r="F61" s="51">
        <f t="shared" si="21"/>
        <v>3.9469867127970336E-3</v>
      </c>
      <c r="G61" s="51">
        <f t="shared" si="21"/>
        <v>5.7179507666496364E-3</v>
      </c>
      <c r="H61" s="51">
        <f t="shared" si="21"/>
        <v>6.6913195723976278E-3</v>
      </c>
      <c r="I61" s="51">
        <f t="shared" si="21"/>
        <v>1.1308285110127882E-2</v>
      </c>
      <c r="J61" s="51">
        <f t="shared" si="21"/>
        <v>8.760197574768017E-3</v>
      </c>
      <c r="K61" s="51">
        <f t="shared" si="21"/>
        <v>3.7113951686338275E-3</v>
      </c>
      <c r="L61" s="51">
        <f t="shared" si="21"/>
        <v>1.2187719839319738E-2</v>
      </c>
      <c r="M61" s="51">
        <f t="shared" si="21"/>
        <v>5.3484006781979447E-2</v>
      </c>
      <c r="N61" s="51">
        <f t="shared" si="21"/>
        <v>9.1339147985807362E-2</v>
      </c>
      <c r="O61" s="99">
        <f t="shared" si="21"/>
        <v>2.0790757418576045E-2</v>
      </c>
      <c r="P61" s="51">
        <f t="shared" si="21"/>
        <v>1.0269176317774091E-2</v>
      </c>
      <c r="Q61" s="104">
        <f t="shared" si="21"/>
        <v>0</v>
      </c>
      <c r="R61" s="51">
        <f t="shared" si="15"/>
        <v>1.1996763692706082E-2</v>
      </c>
      <c r="S61" s="51"/>
      <c r="T61" s="51">
        <f t="shared" si="13"/>
        <v>0</v>
      </c>
    </row>
    <row r="62" spans="2:23" x14ac:dyDescent="0.35">
      <c r="B62" s="26" t="s">
        <v>223</v>
      </c>
      <c r="C62" s="79">
        <f t="shared" ref="C62:Q62" si="22">IFERROR(C15/C$15,0)</f>
        <v>1</v>
      </c>
      <c r="D62" s="79">
        <f t="shared" si="22"/>
        <v>1</v>
      </c>
      <c r="E62" s="79">
        <f t="shared" si="22"/>
        <v>1</v>
      </c>
      <c r="F62" s="79">
        <f t="shared" si="22"/>
        <v>1</v>
      </c>
      <c r="G62" s="79">
        <f t="shared" si="22"/>
        <v>1</v>
      </c>
      <c r="H62" s="79">
        <f t="shared" si="22"/>
        <v>1</v>
      </c>
      <c r="I62" s="79">
        <f t="shared" si="22"/>
        <v>1</v>
      </c>
      <c r="J62" s="79">
        <f t="shared" si="22"/>
        <v>1</v>
      </c>
      <c r="K62" s="79">
        <f t="shared" si="22"/>
        <v>1</v>
      </c>
      <c r="L62" s="79">
        <f t="shared" si="22"/>
        <v>1</v>
      </c>
      <c r="M62" s="79">
        <f t="shared" si="22"/>
        <v>1</v>
      </c>
      <c r="N62" s="79">
        <f t="shared" si="22"/>
        <v>1</v>
      </c>
      <c r="O62" s="79">
        <f t="shared" si="22"/>
        <v>1</v>
      </c>
      <c r="P62" s="79">
        <f t="shared" si="22"/>
        <v>1</v>
      </c>
      <c r="Q62" s="104">
        <f t="shared" si="22"/>
        <v>0</v>
      </c>
      <c r="R62" s="79">
        <f t="shared" si="15"/>
        <v>1</v>
      </c>
      <c r="S62" s="79"/>
      <c r="T62" s="79">
        <f t="shared" si="13"/>
        <v>0</v>
      </c>
    </row>
    <row r="63" spans="2:23" x14ac:dyDescent="0.35">
      <c r="C63" s="51">
        <f t="shared" ref="C63:Q63" si="23">IFERROR(C16/C$15,0)</f>
        <v>0</v>
      </c>
      <c r="D63" s="51">
        <f t="shared" si="23"/>
        <v>0</v>
      </c>
      <c r="E63" s="51">
        <f t="shared" si="23"/>
        <v>0</v>
      </c>
      <c r="F63" s="51">
        <f t="shared" si="23"/>
        <v>0</v>
      </c>
      <c r="G63" s="51">
        <f t="shared" si="23"/>
        <v>0</v>
      </c>
      <c r="H63" s="51">
        <f t="shared" si="23"/>
        <v>0</v>
      </c>
      <c r="I63" s="51">
        <f t="shared" si="23"/>
        <v>0</v>
      </c>
      <c r="J63" s="51">
        <f t="shared" si="23"/>
        <v>0</v>
      </c>
      <c r="K63" s="51">
        <f t="shared" si="23"/>
        <v>0</v>
      </c>
      <c r="L63" s="51">
        <f t="shared" si="23"/>
        <v>0</v>
      </c>
      <c r="M63" s="51">
        <f t="shared" si="23"/>
        <v>0</v>
      </c>
      <c r="N63" s="51">
        <f t="shared" si="23"/>
        <v>0</v>
      </c>
      <c r="O63" s="99">
        <f t="shared" si="23"/>
        <v>0</v>
      </c>
      <c r="P63" s="51">
        <f t="shared" si="23"/>
        <v>0</v>
      </c>
      <c r="Q63" s="104">
        <f t="shared" si="23"/>
        <v>0</v>
      </c>
      <c r="R63" s="51">
        <f t="shared" si="15"/>
        <v>0</v>
      </c>
      <c r="S63" s="51"/>
      <c r="T63" s="51">
        <f t="shared" si="13"/>
        <v>0</v>
      </c>
    </row>
    <row r="64" spans="2:23" x14ac:dyDescent="0.35">
      <c r="B64" s="12" t="s">
        <v>268</v>
      </c>
      <c r="C64" s="51">
        <f t="shared" ref="C64:Q64" si="24">IFERROR(C17/C$15,0)</f>
        <v>0.24324900247895864</v>
      </c>
      <c r="D64" s="51">
        <f t="shared" si="24"/>
        <v>0.29572026202881163</v>
      </c>
      <c r="E64" s="51">
        <f t="shared" si="24"/>
        <v>0.32210101180908901</v>
      </c>
      <c r="F64" s="51">
        <f t="shared" si="24"/>
        <v>0.3168548733167415</v>
      </c>
      <c r="G64" s="51">
        <f t="shared" si="24"/>
        <v>0.29154609149416949</v>
      </c>
      <c r="H64" s="51">
        <f t="shared" si="24"/>
        <v>0.28328039897255852</v>
      </c>
      <c r="I64" s="51">
        <f t="shared" si="24"/>
        <v>0.30035678897626966</v>
      </c>
      <c r="J64" s="51">
        <f t="shared" si="24"/>
        <v>0.29432353119996824</v>
      </c>
      <c r="K64" s="51">
        <f t="shared" si="24"/>
        <v>0.29619627157191186</v>
      </c>
      <c r="L64" s="51">
        <f t="shared" si="24"/>
        <v>0.27727975484819595</v>
      </c>
      <c r="M64" s="51">
        <f t="shared" si="24"/>
        <v>0.27652415017033583</v>
      </c>
      <c r="N64" s="51">
        <f t="shared" si="24"/>
        <v>0.24744586994125964</v>
      </c>
      <c r="O64" s="99">
        <f t="shared" si="24"/>
        <v>0.28683139635428362</v>
      </c>
      <c r="P64" s="51">
        <f t="shared" si="24"/>
        <v>0.26415841669751072</v>
      </c>
      <c r="Q64" s="104">
        <f t="shared" si="24"/>
        <v>0</v>
      </c>
      <c r="R64" s="51">
        <f t="shared" si="15"/>
        <v>0.27727942544207962</v>
      </c>
      <c r="S64" s="51"/>
      <c r="T64" s="51">
        <f t="shared" si="13"/>
        <v>0</v>
      </c>
    </row>
    <row r="65" spans="2:20" x14ac:dyDescent="0.35">
      <c r="B65" s="12" t="s">
        <v>205</v>
      </c>
      <c r="C65" s="51">
        <f t="shared" ref="C65:Q65" si="25">IFERROR(C18/C$15,0)</f>
        <v>0.19185899648770391</v>
      </c>
      <c r="D65" s="51">
        <f t="shared" si="25"/>
        <v>0.17406961332076776</v>
      </c>
      <c r="E65" s="51">
        <f t="shared" si="25"/>
        <v>0.18845816360467771</v>
      </c>
      <c r="F65" s="51">
        <f t="shared" si="25"/>
        <v>0.17679134310316375</v>
      </c>
      <c r="G65" s="51">
        <f t="shared" si="25"/>
        <v>0.17180491556971883</v>
      </c>
      <c r="H65" s="51">
        <f t="shared" si="25"/>
        <v>0.17610116123328529</v>
      </c>
      <c r="I65" s="51">
        <f t="shared" si="25"/>
        <v>0.17075377623056165</v>
      </c>
      <c r="J65" s="51">
        <f t="shared" si="25"/>
        <v>0.19389294163585216</v>
      </c>
      <c r="K65" s="51">
        <f t="shared" si="25"/>
        <v>0.19119949901030173</v>
      </c>
      <c r="L65" s="51">
        <f t="shared" si="25"/>
        <v>0.16762674573303696</v>
      </c>
      <c r="M65" s="51">
        <f t="shared" si="25"/>
        <v>0.17307247738454018</v>
      </c>
      <c r="N65" s="51">
        <f t="shared" si="25"/>
        <v>0.17833079379757372</v>
      </c>
      <c r="O65" s="99">
        <f t="shared" si="25"/>
        <v>0.17892863361176359</v>
      </c>
      <c r="P65" s="51">
        <f t="shared" si="25"/>
        <v>0.20023746862810921</v>
      </c>
      <c r="Q65" s="104">
        <f t="shared" si="25"/>
        <v>0</v>
      </c>
      <c r="R65" s="51">
        <f t="shared" si="15"/>
        <v>0.17217934794061954</v>
      </c>
      <c r="S65" s="51"/>
      <c r="T65" s="51">
        <f t="shared" si="13"/>
        <v>0</v>
      </c>
    </row>
    <row r="66" spans="2:20" x14ac:dyDescent="0.35">
      <c r="B66" s="12" t="s">
        <v>272</v>
      </c>
      <c r="C66" s="51">
        <f t="shared" ref="C66:Q66" si="26">IFERROR(C19/C$15,0)</f>
        <v>0.16557288132035081</v>
      </c>
      <c r="D66" s="51">
        <f t="shared" si="26"/>
        <v>0.16865499290228755</v>
      </c>
      <c r="E66" s="51">
        <f t="shared" si="26"/>
        <v>0.18450785844543438</v>
      </c>
      <c r="F66" s="51">
        <f t="shared" si="26"/>
        <v>0.16161578973503712</v>
      </c>
      <c r="G66" s="51">
        <f t="shared" si="26"/>
        <v>0.15524858186546664</v>
      </c>
      <c r="H66" s="51">
        <f t="shared" si="26"/>
        <v>0.17396903424098129</v>
      </c>
      <c r="I66" s="51">
        <f t="shared" si="26"/>
        <v>0.16419935809794858</v>
      </c>
      <c r="J66" s="51">
        <f t="shared" si="26"/>
        <v>0.16986396007633053</v>
      </c>
      <c r="K66" s="51">
        <f t="shared" si="26"/>
        <v>0.16795565418171959</v>
      </c>
      <c r="L66" s="51">
        <f t="shared" si="26"/>
        <v>0.14182141519349517</v>
      </c>
      <c r="M66" s="51">
        <f t="shared" si="26"/>
        <v>0.15874737139997794</v>
      </c>
      <c r="N66" s="51">
        <f t="shared" si="26"/>
        <v>0.16632378820449206</v>
      </c>
      <c r="O66" s="99">
        <f t="shared" si="26"/>
        <v>0.1643269833288489</v>
      </c>
      <c r="P66" s="51">
        <f t="shared" si="26"/>
        <v>0.20362711180071877</v>
      </c>
      <c r="Q66" s="104">
        <f t="shared" si="26"/>
        <v>0</v>
      </c>
      <c r="R66" s="51">
        <f t="shared" si="15"/>
        <v>0.15453050566356274</v>
      </c>
      <c r="S66" s="51"/>
      <c r="T66" s="51">
        <f t="shared" si="13"/>
        <v>0</v>
      </c>
    </row>
    <row r="67" spans="2:20" x14ac:dyDescent="0.35">
      <c r="B67" s="12" t="s">
        <v>206</v>
      </c>
      <c r="C67" s="51">
        <f t="shared" ref="C67:Q67" si="27">IFERROR(C20/C$15,0)</f>
        <v>5.2405764942575102E-3</v>
      </c>
      <c r="D67" s="51">
        <f t="shared" si="27"/>
        <v>5.2063841349614844E-3</v>
      </c>
      <c r="E67" s="51">
        <f t="shared" si="27"/>
        <v>6.6757586013105035E-3</v>
      </c>
      <c r="F67" s="51">
        <f t="shared" si="27"/>
        <v>4.9254783876772276E-3</v>
      </c>
      <c r="G67" s="51">
        <f t="shared" si="27"/>
        <v>6.9016122942684756E-3</v>
      </c>
      <c r="H67" s="51">
        <f t="shared" si="27"/>
        <v>4.4441027033364942E-3</v>
      </c>
      <c r="I67" s="51">
        <f t="shared" si="27"/>
        <v>6.0499051063203002E-3</v>
      </c>
      <c r="J67" s="51">
        <f t="shared" si="27"/>
        <v>2.7455000901195556E-3</v>
      </c>
      <c r="K67" s="51">
        <f t="shared" si="27"/>
        <v>1.060535540384972E-2</v>
      </c>
      <c r="L67" s="51">
        <f t="shared" si="27"/>
        <v>7.2984576492516233E-3</v>
      </c>
      <c r="M67" s="51">
        <f t="shared" si="27"/>
        <v>7.0477996037228378E-3</v>
      </c>
      <c r="N67" s="51">
        <f t="shared" si="27"/>
        <v>5.7233270375264484E-3</v>
      </c>
      <c r="O67" s="99">
        <f t="shared" si="27"/>
        <v>6.1010080709477024E-3</v>
      </c>
      <c r="P67" s="51">
        <f t="shared" si="27"/>
        <v>5.7179996259670894E-3</v>
      </c>
      <c r="Q67" s="104">
        <f t="shared" si="27"/>
        <v>0</v>
      </c>
      <c r="R67" s="51">
        <f t="shared" si="15"/>
        <v>5.8886219527359467E-3</v>
      </c>
      <c r="S67" s="51"/>
      <c r="T67" s="51">
        <f t="shared" si="13"/>
        <v>0</v>
      </c>
    </row>
    <row r="68" spans="2:20" x14ac:dyDescent="0.35">
      <c r="B68" s="12" t="s">
        <v>278</v>
      </c>
      <c r="C68" s="51">
        <f t="shared" ref="C68:Q68" si="28">IFERROR(C21/C$15,0)</f>
        <v>2.5165726933474412E-2</v>
      </c>
      <c r="D68" s="51">
        <f t="shared" si="28"/>
        <v>2.4322498567063769E-2</v>
      </c>
      <c r="E68" s="51">
        <f t="shared" si="28"/>
        <v>3.0175420650566553E-2</v>
      </c>
      <c r="F68" s="51">
        <f t="shared" si="28"/>
        <v>2.3917849793643302E-2</v>
      </c>
      <c r="G68" s="51">
        <f t="shared" si="28"/>
        <v>2.1467781737884606E-2</v>
      </c>
      <c r="H68" s="51">
        <f t="shared" si="28"/>
        <v>2.3737423791443394E-2</v>
      </c>
      <c r="I68" s="51">
        <f t="shared" si="28"/>
        <v>2.6712300628127059E-2</v>
      </c>
      <c r="J68" s="51">
        <f t="shared" si="28"/>
        <v>2.391755094113417E-2</v>
      </c>
      <c r="K68" s="51">
        <f t="shared" si="28"/>
        <v>2.5434765602447628E-2</v>
      </c>
      <c r="L68" s="51">
        <f t="shared" si="28"/>
        <v>2.3443894891469943E-2</v>
      </c>
      <c r="M68" s="51">
        <f t="shared" si="28"/>
        <v>2.1468579773532392E-2</v>
      </c>
      <c r="N68" s="51">
        <f t="shared" si="28"/>
        <v>2.9388075607298485E-2</v>
      </c>
      <c r="O68" s="99">
        <f t="shared" si="28"/>
        <v>2.4852256671094416E-2</v>
      </c>
      <c r="P68" s="51">
        <f t="shared" si="28"/>
        <v>2.5105271538495216E-2</v>
      </c>
      <c r="Q68" s="104">
        <f t="shared" si="28"/>
        <v>0</v>
      </c>
      <c r="R68" s="51">
        <f t="shared" si="15"/>
        <v>2.4540237425538781E-2</v>
      </c>
      <c r="S68" s="51"/>
      <c r="T68" s="51">
        <f t="shared" si="13"/>
        <v>0</v>
      </c>
    </row>
    <row r="69" spans="2:20" x14ac:dyDescent="0.35">
      <c r="B69" s="12" t="s">
        <v>288</v>
      </c>
      <c r="C69" s="51">
        <f t="shared" ref="C69:Q69" si="29">IFERROR(C22/C$15,0)</f>
        <v>3.7670794267684695E-3</v>
      </c>
      <c r="D69" s="51">
        <f t="shared" si="29"/>
        <v>3.0128446354327977E-3</v>
      </c>
      <c r="E69" s="51">
        <f t="shared" si="29"/>
        <v>4.0356203027725104E-3</v>
      </c>
      <c r="F69" s="51">
        <f t="shared" si="29"/>
        <v>1.675320419289995E-3</v>
      </c>
      <c r="G69" s="51">
        <f t="shared" si="29"/>
        <v>4.1185075882203201E-3</v>
      </c>
      <c r="H69" s="51">
        <f t="shared" si="29"/>
        <v>4.1665208629017517E-3</v>
      </c>
      <c r="I69" s="51">
        <f t="shared" si="29"/>
        <v>2.6040962482588152E-3</v>
      </c>
      <c r="J69" s="51">
        <f t="shared" si="29"/>
        <v>2.4616856026673257E-3</v>
      </c>
      <c r="K69" s="51">
        <f t="shared" si="29"/>
        <v>3.6578929326515795E-3</v>
      </c>
      <c r="L69" s="51">
        <f t="shared" si="29"/>
        <v>2.6040466313304801E-3</v>
      </c>
      <c r="M69" s="51">
        <f t="shared" si="29"/>
        <v>2.7851685290495535E-3</v>
      </c>
      <c r="N69" s="51">
        <f t="shared" si="29"/>
        <v>4.9320579305174661E-3</v>
      </c>
      <c r="O69" s="99">
        <f t="shared" si="29"/>
        <v>3.3105178272565231E-3</v>
      </c>
      <c r="P69" s="51">
        <f t="shared" si="29"/>
        <v>1.3950838286299182E-3</v>
      </c>
      <c r="Q69" s="104">
        <f t="shared" si="29"/>
        <v>0</v>
      </c>
      <c r="R69" s="51">
        <f t="shared" si="15"/>
        <v>2.2532103685960359E-3</v>
      </c>
      <c r="S69" s="51"/>
      <c r="T69" s="51">
        <f t="shared" si="13"/>
        <v>0</v>
      </c>
    </row>
    <row r="70" spans="2:20" x14ac:dyDescent="0.35">
      <c r="B70" s="12" t="s">
        <v>289</v>
      </c>
      <c r="C70" s="51">
        <f t="shared" ref="C70:Q70" si="30">IFERROR(C23/C$15,0)</f>
        <v>2.009879606473244E-2</v>
      </c>
      <c r="D70" s="51">
        <f t="shared" si="30"/>
        <v>2.2999158154286072E-2</v>
      </c>
      <c r="E70" s="51">
        <f t="shared" si="30"/>
        <v>3.6112758464814175E-2</v>
      </c>
      <c r="F70" s="51">
        <f t="shared" si="30"/>
        <v>3.1439837579712755E-2</v>
      </c>
      <c r="G70" s="51">
        <f t="shared" si="30"/>
        <v>3.2976256115292681E-2</v>
      </c>
      <c r="H70" s="51">
        <f t="shared" si="30"/>
        <v>3.8692145750427252E-2</v>
      </c>
      <c r="I70" s="51">
        <f t="shared" si="30"/>
        <v>4.0317975056701275E-2</v>
      </c>
      <c r="J70" s="51">
        <f t="shared" si="30"/>
        <v>3.5854516311531005E-2</v>
      </c>
      <c r="K70" s="51">
        <f t="shared" si="30"/>
        <v>2.5983450116944619E-2</v>
      </c>
      <c r="L70" s="51">
        <f t="shared" si="30"/>
        <v>1.9492601603780736E-2</v>
      </c>
      <c r="M70" s="51">
        <f t="shared" si="30"/>
        <v>4.6812848158401837E-2</v>
      </c>
      <c r="N70" s="51">
        <f t="shared" si="30"/>
        <v>4.5354957313362129E-2</v>
      </c>
      <c r="O70" s="99">
        <f t="shared" si="30"/>
        <v>3.3149606272110221E-2</v>
      </c>
      <c r="P70" s="51">
        <f t="shared" si="30"/>
        <v>2.4094750835619155E-2</v>
      </c>
      <c r="Q70" s="104">
        <f t="shared" si="30"/>
        <v>0</v>
      </c>
      <c r="R70" s="51">
        <f t="shared" si="15"/>
        <v>2.5466224533606256E-2</v>
      </c>
      <c r="S70" s="51"/>
      <c r="T70" s="51">
        <f t="shared" si="13"/>
        <v>0</v>
      </c>
    </row>
    <row r="71" spans="2:20" x14ac:dyDescent="0.35">
      <c r="B71" s="12" t="s">
        <v>535</v>
      </c>
      <c r="C71" s="51">
        <f t="shared" ref="C71:Q71" si="31">IFERROR(C24/C$15,0)</f>
        <v>6.3764229805894331E-3</v>
      </c>
      <c r="D71" s="51">
        <f t="shared" si="31"/>
        <v>6.5048922860705561E-3</v>
      </c>
      <c r="E71" s="51">
        <f t="shared" si="31"/>
        <v>7.2424031497584068E-3</v>
      </c>
      <c r="F71" s="51">
        <f t="shared" si="31"/>
        <v>6.1561368375190077E-3</v>
      </c>
      <c r="G71" s="51">
        <f t="shared" si="31"/>
        <v>5.0993636599540636E-3</v>
      </c>
      <c r="H71" s="51">
        <f t="shared" si="31"/>
        <v>4.9493968197556436E-3</v>
      </c>
      <c r="I71" s="51">
        <f t="shared" si="31"/>
        <v>6.6781929046087676E-3</v>
      </c>
      <c r="J71" s="51">
        <f t="shared" si="31"/>
        <v>6.1587082990183601E-3</v>
      </c>
      <c r="K71" s="51">
        <f t="shared" si="31"/>
        <v>5.9247523703489886E-3</v>
      </c>
      <c r="L71" s="51">
        <f t="shared" si="31"/>
        <v>5.4066483588936639E-3</v>
      </c>
      <c r="M71" s="51">
        <f t="shared" si="31"/>
        <v>5.3428271002302725E-3</v>
      </c>
      <c r="N71" s="51">
        <f t="shared" si="31"/>
        <v>5.8512493287133501E-3</v>
      </c>
      <c r="O71" s="99">
        <f t="shared" si="31"/>
        <v>5.9408074322229486E-3</v>
      </c>
      <c r="P71" s="51">
        <f t="shared" si="31"/>
        <v>4.8797852636176297E-3</v>
      </c>
      <c r="Q71" s="104">
        <f t="shared" si="31"/>
        <v>0</v>
      </c>
      <c r="R71" s="51">
        <f t="shared" si="15"/>
        <v>5.7363506863265471E-3</v>
      </c>
      <c r="S71" s="51"/>
      <c r="T71" s="51">
        <f t="shared" si="13"/>
        <v>0</v>
      </c>
    </row>
    <row r="72" spans="2:20" x14ac:dyDescent="0.35">
      <c r="B72" s="12" t="s">
        <v>534</v>
      </c>
      <c r="C72" s="51">
        <f t="shared" ref="C72:Q72" si="32">IFERROR(C25/C$15,0)</f>
        <v>1.9860435041702668E-2</v>
      </c>
      <c r="D72" s="51">
        <f t="shared" si="32"/>
        <v>1.9295340449390491E-2</v>
      </c>
      <c r="E72" s="51">
        <f t="shared" si="32"/>
        <v>2.3715455307038526E-2</v>
      </c>
      <c r="F72" s="51">
        <f t="shared" si="32"/>
        <v>1.9059792218231907E-2</v>
      </c>
      <c r="G72" s="51">
        <f t="shared" si="32"/>
        <v>1.6805080581350586E-2</v>
      </c>
      <c r="H72" s="51">
        <f t="shared" si="32"/>
        <v>1.9190513896485569E-2</v>
      </c>
      <c r="I72" s="51">
        <f t="shared" si="32"/>
        <v>2.2659611480584211E-2</v>
      </c>
      <c r="J72" s="51">
        <f t="shared" si="32"/>
        <v>1.7981900572803692E-2</v>
      </c>
      <c r="K72" s="51">
        <f t="shared" si="32"/>
        <v>1.8354451554176105E-2</v>
      </c>
      <c r="L72" s="51">
        <f t="shared" si="32"/>
        <v>1.1138899449928361E-2</v>
      </c>
      <c r="M72" s="51">
        <f t="shared" si="32"/>
        <v>3.038333649400041E-2</v>
      </c>
      <c r="N72" s="51">
        <f t="shared" si="32"/>
        <v>4.6584353497324753E-2</v>
      </c>
      <c r="O72" s="99">
        <f t="shared" si="32"/>
        <v>2.2144383400769255E-2</v>
      </c>
      <c r="P72" s="51">
        <f t="shared" si="32"/>
        <v>1.8464883122660324E-2</v>
      </c>
      <c r="Q72" s="104">
        <f t="shared" si="32"/>
        <v>0</v>
      </c>
      <c r="R72" s="51">
        <f t="shared" si="15"/>
        <v>2.1068057349438375E-2</v>
      </c>
      <c r="S72" s="51"/>
      <c r="T72" s="51">
        <f t="shared" si="13"/>
        <v>0</v>
      </c>
    </row>
    <row r="73" spans="2:20" x14ac:dyDescent="0.35">
      <c r="B73" s="12" t="s">
        <v>310</v>
      </c>
      <c r="C73" s="51">
        <f t="shared" ref="C73:Q73" si="33">IFERROR(C26/C$15,0)</f>
        <v>3.5643765549468265E-3</v>
      </c>
      <c r="D73" s="51">
        <f t="shared" si="33"/>
        <v>4.837019601835385E-3</v>
      </c>
      <c r="E73" s="51">
        <f t="shared" si="33"/>
        <v>4.1952348761935447E-3</v>
      </c>
      <c r="F73" s="51">
        <f t="shared" si="33"/>
        <v>4.4073606223402418E-3</v>
      </c>
      <c r="G73" s="51">
        <f t="shared" si="33"/>
        <v>3.588871311230308E-3</v>
      </c>
      <c r="H73" s="51">
        <f t="shared" si="33"/>
        <v>3.8145987565230944E-3</v>
      </c>
      <c r="I73" s="51">
        <f t="shared" si="33"/>
        <v>4.6812767227555254E-3</v>
      </c>
      <c r="J73" s="51">
        <f t="shared" si="33"/>
        <v>3.446897443414768E-3</v>
      </c>
      <c r="K73" s="51">
        <f t="shared" si="33"/>
        <v>3.9209459711522163E-3</v>
      </c>
      <c r="L73" s="51">
        <f t="shared" si="33"/>
        <v>3.4050040501587245E-3</v>
      </c>
      <c r="M73" s="51">
        <f t="shared" si="33"/>
        <v>4.4929642691479126E-3</v>
      </c>
      <c r="N73" s="51">
        <f t="shared" si="33"/>
        <v>5.0117584448859647E-3</v>
      </c>
      <c r="O73" s="99">
        <f t="shared" si="33"/>
        <v>4.1200172033010662E-3</v>
      </c>
      <c r="P73" s="51">
        <f t="shared" si="33"/>
        <v>3.673770143221183E-3</v>
      </c>
      <c r="Q73" s="104">
        <f t="shared" si="33"/>
        <v>0</v>
      </c>
      <c r="R73" s="51">
        <f t="shared" si="15"/>
        <v>4.626591519609851E-3</v>
      </c>
      <c r="S73" s="51"/>
      <c r="T73" s="51">
        <f t="shared" si="13"/>
        <v>0</v>
      </c>
    </row>
    <row r="74" spans="2:20" x14ac:dyDescent="0.35">
      <c r="B74" s="12" t="s">
        <v>207</v>
      </c>
      <c r="C74" s="51">
        <f t="shared" ref="C74:Q74" si="34">IFERROR(C27/C$15,0)</f>
        <v>6.6608400975409234E-4</v>
      </c>
      <c r="D74" s="51">
        <f t="shared" si="34"/>
        <v>6.6686556760112137E-4</v>
      </c>
      <c r="E74" s="51">
        <f t="shared" si="34"/>
        <v>5.5622934511390196E-4</v>
      </c>
      <c r="F74" s="51">
        <f t="shared" si="34"/>
        <v>4.9454816613640437E-4</v>
      </c>
      <c r="G74" s="51">
        <f t="shared" si="34"/>
        <v>6.8405913962642304E-4</v>
      </c>
      <c r="H74" s="51">
        <f t="shared" si="34"/>
        <v>6.9418683358840594E-4</v>
      </c>
      <c r="I74" s="51">
        <f t="shared" si="34"/>
        <v>7.0688708856982032E-4</v>
      </c>
      <c r="J74" s="51">
        <f t="shared" si="34"/>
        <v>8.5740725220476946E-4</v>
      </c>
      <c r="K74" s="51">
        <f t="shared" si="34"/>
        <v>8.7588368177826767E-4</v>
      </c>
      <c r="L74" s="51">
        <f t="shared" si="34"/>
        <v>7.5535322559652578E-4</v>
      </c>
      <c r="M74" s="51">
        <f t="shared" si="34"/>
        <v>7.2306674785928922E-4</v>
      </c>
      <c r="N74" s="51">
        <f t="shared" si="34"/>
        <v>8.0622647961268263E-4</v>
      </c>
      <c r="O74" s="99">
        <f t="shared" si="34"/>
        <v>7.0838607976350958E-4</v>
      </c>
      <c r="P74" s="51">
        <f t="shared" si="34"/>
        <v>6.4900383392478762E-4</v>
      </c>
      <c r="Q74" s="104">
        <f t="shared" si="34"/>
        <v>0</v>
      </c>
      <c r="R74" s="51">
        <f t="shared" si="15"/>
        <v>7.2315299039832598E-4</v>
      </c>
      <c r="S74" s="51"/>
      <c r="T74" s="51">
        <f t="shared" si="13"/>
        <v>0</v>
      </c>
    </row>
    <row r="75" spans="2:20" x14ac:dyDescent="0.35">
      <c r="B75" s="12" t="s">
        <v>301</v>
      </c>
      <c r="C75" s="51">
        <f t="shared" ref="C75:Q75" si="35">IFERROR(C28/C$15,0)</f>
        <v>1.0462924429262938E-3</v>
      </c>
      <c r="D75" s="51">
        <f t="shared" si="35"/>
        <v>1.6451947706177573E-3</v>
      </c>
      <c r="E75" s="51">
        <f t="shared" si="35"/>
        <v>1.349836217533979E-3</v>
      </c>
      <c r="F75" s="51">
        <f t="shared" si="35"/>
        <v>1.6306542164187512E-3</v>
      </c>
      <c r="G75" s="51">
        <f t="shared" si="35"/>
        <v>7.7540977449663579E-4</v>
      </c>
      <c r="H75" s="51">
        <f t="shared" si="35"/>
        <v>4.1213411335120948E-4</v>
      </c>
      <c r="I75" s="51">
        <f t="shared" si="35"/>
        <v>2.5026809955393976E-3</v>
      </c>
      <c r="J75" s="51">
        <f t="shared" si="35"/>
        <v>4.8761731840584935E-4</v>
      </c>
      <c r="K75" s="51">
        <f t="shared" si="35"/>
        <v>6.1297499086519975E-4</v>
      </c>
      <c r="L75" s="51">
        <f t="shared" si="35"/>
        <v>1.0809419859837417E-3</v>
      </c>
      <c r="M75" s="51">
        <f t="shared" si="35"/>
        <v>6.7558274376555987E-4</v>
      </c>
      <c r="N75" s="51">
        <f t="shared" si="35"/>
        <v>3.4674228047208151E-3</v>
      </c>
      <c r="O75" s="99">
        <f t="shared" si="35"/>
        <v>1.3194999180259105E-3</v>
      </c>
      <c r="P75" s="51">
        <f t="shared" si="35"/>
        <v>1.2216609449381885E-3</v>
      </c>
      <c r="Q75" s="104">
        <f t="shared" si="35"/>
        <v>0</v>
      </c>
      <c r="R75" s="51">
        <f t="shared" si="15"/>
        <v>2.587244785033602E-4</v>
      </c>
      <c r="S75" s="51"/>
      <c r="T75" s="51">
        <f t="shared" si="13"/>
        <v>0</v>
      </c>
    </row>
    <row r="76" spans="2:20" x14ac:dyDescent="0.35">
      <c r="B76" s="12" t="s">
        <v>302</v>
      </c>
      <c r="C76" s="51">
        <f t="shared" ref="C76:Q76" si="36">IFERROR(C29/C$15,0)</f>
        <v>9.7907300670350495E-4</v>
      </c>
      <c r="D76" s="51">
        <f t="shared" si="36"/>
        <v>3.0523359615695213E-3</v>
      </c>
      <c r="E76" s="51">
        <f t="shared" si="36"/>
        <v>3.4136815078520165E-3</v>
      </c>
      <c r="F76" s="51">
        <f t="shared" si="36"/>
        <v>5.4939161427170818E-3</v>
      </c>
      <c r="G76" s="51">
        <f t="shared" si="36"/>
        <v>1.9002102131583673E-3</v>
      </c>
      <c r="H76" s="51">
        <f t="shared" si="36"/>
        <v>1.7964772758799949E-3</v>
      </c>
      <c r="I76" s="51">
        <f t="shared" si="36"/>
        <v>4.2959799082190227E-3</v>
      </c>
      <c r="J76" s="51">
        <f t="shared" si="36"/>
        <v>5.0207496639833359E-3</v>
      </c>
      <c r="K76" s="51">
        <f t="shared" si="36"/>
        <v>2.6033541887434553E-3</v>
      </c>
      <c r="L76" s="51">
        <f t="shared" si="36"/>
        <v>4.7322260191477016E-3</v>
      </c>
      <c r="M76" s="51">
        <f t="shared" si="36"/>
        <v>9.1232823358674449E-3</v>
      </c>
      <c r="N76" s="51">
        <f t="shared" si="36"/>
        <v>1.0754583269152292E-2</v>
      </c>
      <c r="O76" s="99">
        <f t="shared" si="36"/>
        <v>4.5205504467375332E-3</v>
      </c>
      <c r="P76" s="51">
        <f t="shared" si="36"/>
        <v>2.9157040204008228E-3</v>
      </c>
      <c r="Q76" s="104">
        <f t="shared" si="36"/>
        <v>0</v>
      </c>
      <c r="R76" s="51">
        <f t="shared" si="15"/>
        <v>3.4385655871123251E-3</v>
      </c>
      <c r="S76" s="51"/>
      <c r="T76" s="51">
        <f t="shared" si="13"/>
        <v>0</v>
      </c>
    </row>
    <row r="77" spans="2:20" x14ac:dyDescent="0.35">
      <c r="B77" s="12" t="s">
        <v>307</v>
      </c>
      <c r="C77" s="51">
        <f t="shared" ref="C77:Q77" si="37">IFERROR(C30/C$15,0)</f>
        <v>0</v>
      </c>
      <c r="D77" s="51">
        <f t="shared" si="37"/>
        <v>0</v>
      </c>
      <c r="E77" s="51">
        <f t="shared" si="37"/>
        <v>0</v>
      </c>
      <c r="F77" s="51">
        <f t="shared" si="37"/>
        <v>0</v>
      </c>
      <c r="G77" s="51">
        <f t="shared" si="37"/>
        <v>2.1841466815905131E-5</v>
      </c>
      <c r="H77" s="51">
        <f t="shared" si="37"/>
        <v>1.5768382793785856E-4</v>
      </c>
      <c r="I77" s="51">
        <f t="shared" si="37"/>
        <v>1.1088509471646749E-4</v>
      </c>
      <c r="J77" s="51">
        <f t="shared" si="37"/>
        <v>1.2627260992774516E-4</v>
      </c>
      <c r="K77" s="51">
        <f t="shared" si="37"/>
        <v>2.4848083941377209E-4</v>
      </c>
      <c r="L77" s="51">
        <f t="shared" si="37"/>
        <v>1.5405377250039362E-4</v>
      </c>
      <c r="M77" s="51">
        <f t="shared" si="37"/>
        <v>1.2765160634771046E-5</v>
      </c>
      <c r="N77" s="51">
        <f t="shared" si="37"/>
        <v>6.7059666908325893E-4</v>
      </c>
      <c r="O77" s="99">
        <f t="shared" si="37"/>
        <v>1.293739816351475E-4</v>
      </c>
      <c r="P77" s="51">
        <f t="shared" si="37"/>
        <v>9.3167945333356907E-5</v>
      </c>
      <c r="Q77" s="104">
        <f t="shared" si="37"/>
        <v>0</v>
      </c>
      <c r="R77" s="51">
        <f t="shared" si="15"/>
        <v>0</v>
      </c>
      <c r="S77" s="51"/>
      <c r="T77" s="51">
        <f t="shared" si="13"/>
        <v>0</v>
      </c>
    </row>
    <row r="78" spans="2:20" x14ac:dyDescent="0.35">
      <c r="B78" s="12" t="s">
        <v>308</v>
      </c>
      <c r="C78" s="51">
        <f t="shared" ref="C78:Q78" si="38">IFERROR(C31/C$15,0)</f>
        <v>5.8426265470028294E-3</v>
      </c>
      <c r="D78" s="51">
        <f t="shared" si="38"/>
        <v>3.851612838783379E-4</v>
      </c>
      <c r="E78" s="51">
        <f t="shared" si="38"/>
        <v>4.2883005172873192E-4</v>
      </c>
      <c r="F78" s="51">
        <f t="shared" si="38"/>
        <v>3.6911066574145591E-4</v>
      </c>
      <c r="G78" s="51">
        <f t="shared" si="38"/>
        <v>3.5797695753355042E-4</v>
      </c>
      <c r="H78" s="51">
        <f t="shared" si="38"/>
        <v>3.6485705321499541E-4</v>
      </c>
      <c r="I78" s="51">
        <f t="shared" si="38"/>
        <v>3.655655308377623E-4</v>
      </c>
      <c r="J78" s="51">
        <f t="shared" si="38"/>
        <v>4.1001133007463809E-4</v>
      </c>
      <c r="K78" s="51">
        <f t="shared" si="38"/>
        <v>3.8814332928228408E-4</v>
      </c>
      <c r="L78" s="51">
        <f t="shared" si="38"/>
        <v>3.3453043679087597E-4</v>
      </c>
      <c r="M78" s="51">
        <f t="shared" si="38"/>
        <v>3.5432122222489414E-4</v>
      </c>
      <c r="N78" s="51">
        <f t="shared" si="38"/>
        <v>4.8436277744834458E-3</v>
      </c>
      <c r="O78" s="99">
        <f t="shared" si="38"/>
        <v>1.1667024111493127E-3</v>
      </c>
      <c r="P78" s="51">
        <f t="shared" si="38"/>
        <v>7.6934845824537697E-3</v>
      </c>
      <c r="Q78" s="104">
        <f t="shared" si="38"/>
        <v>0</v>
      </c>
      <c r="R78" s="51">
        <f t="shared" si="15"/>
        <v>3.3667091595533769E-4</v>
      </c>
      <c r="S78" s="51"/>
      <c r="T78" s="51">
        <f t="shared" si="13"/>
        <v>0</v>
      </c>
    </row>
    <row r="79" spans="2:20" x14ac:dyDescent="0.35">
      <c r="B79" s="12" t="s">
        <v>311</v>
      </c>
      <c r="C79" s="51">
        <f t="shared" ref="C79:Q79" si="39">IFERROR(C32/C$15,0)</f>
        <v>2.4914813523982036E-2</v>
      </c>
      <c r="D79" s="51">
        <f t="shared" si="39"/>
        <v>1.6170470425556846E-2</v>
      </c>
      <c r="E79" s="51">
        <f t="shared" si="39"/>
        <v>1.8565133614038058E-2</v>
      </c>
      <c r="F79" s="51">
        <f t="shared" si="39"/>
        <v>1.3573374099299096E-2</v>
      </c>
      <c r="G79" s="51">
        <f t="shared" si="39"/>
        <v>1.7240226928643538E-2</v>
      </c>
      <c r="H79" s="51">
        <f t="shared" si="39"/>
        <v>2.2482619630207784E-2</v>
      </c>
      <c r="I79" s="51">
        <f t="shared" si="39"/>
        <v>2.1730592100082262E-2</v>
      </c>
      <c r="J79" s="51">
        <f t="shared" si="39"/>
        <v>2.1362900361569424E-2</v>
      </c>
      <c r="K79" s="51">
        <f t="shared" si="39"/>
        <v>2.1889547373839163E-2</v>
      </c>
      <c r="L79" s="51">
        <f t="shared" si="39"/>
        <v>1.8007759809042408E-2</v>
      </c>
      <c r="M79" s="51">
        <f t="shared" si="39"/>
        <v>2.8762042732550293E-2</v>
      </c>
      <c r="N79" s="51">
        <f t="shared" si="39"/>
        <v>1.6401129125587045E-2</v>
      </c>
      <c r="O79" s="99">
        <f t="shared" si="39"/>
        <v>2.0044859713800649E-2</v>
      </c>
      <c r="P79" s="51">
        <f t="shared" si="39"/>
        <v>2.5150388416633994E-2</v>
      </c>
      <c r="Q79" s="104">
        <f t="shared" si="39"/>
        <v>0</v>
      </c>
      <c r="R79" s="51">
        <f t="shared" si="15"/>
        <v>1.7607581602689909E-2</v>
      </c>
      <c r="S79" s="51"/>
      <c r="T79" s="51">
        <f t="shared" si="13"/>
        <v>0</v>
      </c>
    </row>
    <row r="80" spans="2:20" x14ac:dyDescent="0.35">
      <c r="B80" s="12" t="s">
        <v>317</v>
      </c>
      <c r="C80" s="51">
        <f t="shared" ref="C80:Q80" si="40">IFERROR(C33/C$15,0)</f>
        <v>2.1287914116356699E-4</v>
      </c>
      <c r="D80" s="51">
        <f t="shared" si="40"/>
        <v>9.514821792441689E-4</v>
      </c>
      <c r="E80" s="51">
        <f t="shared" si="40"/>
        <v>7.2672883640071372E-4</v>
      </c>
      <c r="F80" s="51">
        <f t="shared" si="40"/>
        <v>1.0033192738233456E-3</v>
      </c>
      <c r="G80" s="51">
        <f t="shared" si="40"/>
        <v>6.9625655877325761E-4</v>
      </c>
      <c r="H80" s="51">
        <f t="shared" si="40"/>
        <v>6.2942197772435581E-4</v>
      </c>
      <c r="I80" s="51">
        <f t="shared" si="40"/>
        <v>7.7748879139474846E-4</v>
      </c>
      <c r="J80" s="51">
        <f t="shared" si="40"/>
        <v>1.464047405414508E-3</v>
      </c>
      <c r="K80" s="51">
        <f t="shared" si="40"/>
        <v>5.3313084256756383E-4</v>
      </c>
      <c r="L80" s="51">
        <f t="shared" si="40"/>
        <v>7.8067823217215556E-4</v>
      </c>
      <c r="M80" s="51">
        <f t="shared" si="40"/>
        <v>4.8847642378538683E-4</v>
      </c>
      <c r="N80" s="51">
        <f t="shared" si="40"/>
        <v>1.2951093127013115E-3</v>
      </c>
      <c r="O80" s="99">
        <f t="shared" si="40"/>
        <v>7.991503428487689E-4</v>
      </c>
      <c r="P80" s="51">
        <f t="shared" si="40"/>
        <v>7.4223722688594534E-4</v>
      </c>
      <c r="Q80" s="104">
        <f t="shared" si="40"/>
        <v>0</v>
      </c>
      <c r="R80" s="51">
        <f t="shared" si="15"/>
        <v>2.0562783417754215E-4</v>
      </c>
      <c r="S80" s="51"/>
      <c r="T80" s="51">
        <f t="shared" si="13"/>
        <v>0</v>
      </c>
    </row>
    <row r="81" spans="2:20" x14ac:dyDescent="0.35">
      <c r="B81" s="12" t="s">
        <v>325</v>
      </c>
      <c r="C81" s="51">
        <f t="shared" ref="C81:Q81" si="41">IFERROR(C34/C$15,0)</f>
        <v>1.8374717519109224E-4</v>
      </c>
      <c r="D81" s="51">
        <f t="shared" si="41"/>
        <v>6.3312294871234671E-4</v>
      </c>
      <c r="E81" s="51">
        <f t="shared" si="41"/>
        <v>7.1687221335174688E-4</v>
      </c>
      <c r="F81" s="51">
        <f t="shared" si="41"/>
        <v>8.9949582207131005E-4</v>
      </c>
      <c r="G81" s="51">
        <f t="shared" si="41"/>
        <v>1.4549901133384879E-3</v>
      </c>
      <c r="H81" s="51">
        <f t="shared" si="41"/>
        <v>3.1862998851759115E-4</v>
      </c>
      <c r="I81" s="51">
        <f t="shared" si="41"/>
        <v>9.2557748167112716E-4</v>
      </c>
      <c r="J81" s="51">
        <f t="shared" si="41"/>
        <v>3.2631641845266428E-4</v>
      </c>
      <c r="K81" s="51">
        <f t="shared" si="41"/>
        <v>5.9029141591515318E-4</v>
      </c>
      <c r="L81" s="51">
        <f t="shared" si="41"/>
        <v>3.544402862231812E-4</v>
      </c>
      <c r="M81" s="51">
        <f t="shared" si="41"/>
        <v>8.8251884002446622E-4</v>
      </c>
      <c r="N81" s="51">
        <f t="shared" si="41"/>
        <v>2.4957797978134781E-3</v>
      </c>
      <c r="O81" s="99">
        <f t="shared" si="41"/>
        <v>8.3219606348819506E-4</v>
      </c>
      <c r="P81" s="51">
        <f t="shared" si="41"/>
        <v>7.2552317161151824E-4</v>
      </c>
      <c r="Q81" s="104">
        <f t="shared" si="41"/>
        <v>0</v>
      </c>
      <c r="R81" s="51">
        <f t="shared" si="15"/>
        <v>1.2887375484842947E-3</v>
      </c>
      <c r="S81" s="51"/>
      <c r="T81" s="51">
        <f t="shared" si="13"/>
        <v>0</v>
      </c>
    </row>
    <row r="82" spans="2:20" x14ac:dyDescent="0.35">
      <c r="B82" s="12" t="s">
        <v>270</v>
      </c>
      <c r="C82" s="51">
        <f t="shared" ref="C82:Q82" si="42">IFERROR(C35/C$15,0)</f>
        <v>7.4797520632432146E-4</v>
      </c>
      <c r="D82" s="51">
        <f t="shared" si="42"/>
        <v>6.5357168383875747E-4</v>
      </c>
      <c r="E82" s="51">
        <f t="shared" si="42"/>
        <v>1.059748372050831E-3</v>
      </c>
      <c r="F82" s="51">
        <f t="shared" si="42"/>
        <v>1.8246276316505829E-3</v>
      </c>
      <c r="G82" s="51">
        <f t="shared" si="42"/>
        <v>3.2613971809224243E-3</v>
      </c>
      <c r="H82" s="51">
        <f t="shared" si="42"/>
        <v>1.635623340463493E-3</v>
      </c>
      <c r="I82" s="51">
        <f t="shared" si="42"/>
        <v>2.1513422633068183E-3</v>
      </c>
      <c r="J82" s="51">
        <f t="shared" si="42"/>
        <v>7.7084776525588742E-3</v>
      </c>
      <c r="K82" s="51">
        <f t="shared" si="42"/>
        <v>3.1846824370643282E-3</v>
      </c>
      <c r="L82" s="51">
        <f t="shared" si="42"/>
        <v>2.2950223448898036E-3</v>
      </c>
      <c r="M82" s="51">
        <f t="shared" si="42"/>
        <v>1.4598346823458629E-3</v>
      </c>
      <c r="N82" s="51">
        <f t="shared" si="42"/>
        <v>6.1201064423321181E-3</v>
      </c>
      <c r="O82" s="99">
        <f t="shared" si="42"/>
        <v>2.6827085008790793E-3</v>
      </c>
      <c r="P82" s="51">
        <f t="shared" si="42"/>
        <v>3.0879281341887766E-3</v>
      </c>
      <c r="Q82" s="104">
        <f t="shared" si="42"/>
        <v>0</v>
      </c>
      <c r="R82" s="51">
        <f t="shared" si="15"/>
        <v>1.0894257145664288E-3</v>
      </c>
      <c r="S82" s="51"/>
      <c r="T82" s="51">
        <f t="shared" si="13"/>
        <v>0</v>
      </c>
    </row>
    <row r="83" spans="2:20" x14ac:dyDescent="0.35">
      <c r="B83" s="12" t="s">
        <v>503</v>
      </c>
      <c r="C83" s="51">
        <f t="shared" ref="C83:Q83" si="43">IFERROR(C36/C$15,0)</f>
        <v>2.3807974123667367E-3</v>
      </c>
      <c r="D83" s="51">
        <f t="shared" si="43"/>
        <v>2.3555539052866332E-3</v>
      </c>
      <c r="E83" s="51">
        <f t="shared" si="43"/>
        <v>3.2959642351208813E-3</v>
      </c>
      <c r="F83" s="51">
        <f t="shared" si="43"/>
        <v>2.700705583771482E-3</v>
      </c>
      <c r="G83" s="51">
        <f t="shared" si="43"/>
        <v>2.3059215263379206E-3</v>
      </c>
      <c r="H83" s="51">
        <f t="shared" si="43"/>
        <v>2.6954376375590691E-3</v>
      </c>
      <c r="I83" s="51">
        <f t="shared" si="43"/>
        <v>2.3962633628661439E-3</v>
      </c>
      <c r="J83" s="51">
        <f t="shared" si="43"/>
        <v>2.2703259347857958E-3</v>
      </c>
      <c r="K83" s="51">
        <f t="shared" si="43"/>
        <v>8.5126010720323331E-3</v>
      </c>
      <c r="L83" s="51">
        <f t="shared" si="43"/>
        <v>1.8523710710220832E-3</v>
      </c>
      <c r="M83" s="51">
        <f t="shared" si="43"/>
        <v>2.4766813677811832E-3</v>
      </c>
      <c r="N83" s="51">
        <f t="shared" si="43"/>
        <v>7.0929500254918367E-3</v>
      </c>
      <c r="O83" s="99">
        <f t="shared" si="43"/>
        <v>3.3558362449930433E-3</v>
      </c>
      <c r="P83" s="51">
        <f t="shared" si="43"/>
        <v>2.2872521731619314E-3</v>
      </c>
      <c r="Q83" s="104">
        <f t="shared" si="43"/>
        <v>0</v>
      </c>
      <c r="R83" s="51">
        <f t="shared" si="15"/>
        <v>3.668126479316817E-3</v>
      </c>
      <c r="S83" s="51"/>
      <c r="T83" s="51">
        <f t="shared" si="13"/>
        <v>0</v>
      </c>
    </row>
    <row r="84" spans="2:20" x14ac:dyDescent="0.35">
      <c r="B84" s="22" t="s">
        <v>492</v>
      </c>
      <c r="C84" s="79">
        <f t="shared" ref="C84:Q84" si="44">IFERROR(C37/C$15,0)</f>
        <v>0.72172858224889969</v>
      </c>
      <c r="D84" s="79">
        <f t="shared" si="44"/>
        <v>0.75113676480721303</v>
      </c>
      <c r="E84" s="79">
        <f t="shared" si="44"/>
        <v>0.83733270960484618</v>
      </c>
      <c r="F84" s="79">
        <f t="shared" si="44"/>
        <v>0.7748335336149863</v>
      </c>
      <c r="G84" s="79">
        <f t="shared" si="44"/>
        <v>0.73825535207720272</v>
      </c>
      <c r="H84" s="79">
        <f t="shared" si="44"/>
        <v>0.76353236870614327</v>
      </c>
      <c r="I84" s="79">
        <f t="shared" si="44"/>
        <v>0.78097654406933925</v>
      </c>
      <c r="J84" s="79">
        <f t="shared" si="44"/>
        <v>0.79068131812021702</v>
      </c>
      <c r="K84" s="79">
        <f t="shared" si="44"/>
        <v>0.78867212888700544</v>
      </c>
      <c r="L84" s="79">
        <f t="shared" si="44"/>
        <v>0.68986484559291039</v>
      </c>
      <c r="M84" s="79">
        <f t="shared" si="44"/>
        <v>0.77163609513977804</v>
      </c>
      <c r="N84" s="79">
        <f t="shared" si="44"/>
        <v>0.78889376280393209</v>
      </c>
      <c r="O84" s="79">
        <f t="shared" si="44"/>
        <v>0.76526487387591946</v>
      </c>
      <c r="P84" s="79">
        <f t="shared" si="44"/>
        <v>0.79592089193408211</v>
      </c>
      <c r="Q84" s="104">
        <f t="shared" si="44"/>
        <v>0</v>
      </c>
      <c r="R84" s="79">
        <f t="shared" si="15"/>
        <v>0.72218518603331816</v>
      </c>
      <c r="S84" s="79"/>
      <c r="T84" s="79">
        <f t="shared" si="13"/>
        <v>0</v>
      </c>
    </row>
    <row r="85" spans="2:20" x14ac:dyDescent="0.35">
      <c r="C85" s="51">
        <f t="shared" ref="C85:Q85" si="45">IFERROR(C38/C$15,0)</f>
        <v>0</v>
      </c>
      <c r="D85" s="51">
        <f t="shared" si="45"/>
        <v>0</v>
      </c>
      <c r="E85" s="51">
        <f t="shared" si="45"/>
        <v>0</v>
      </c>
      <c r="F85" s="51">
        <f t="shared" si="45"/>
        <v>0</v>
      </c>
      <c r="G85" s="51">
        <f t="shared" si="45"/>
        <v>0</v>
      </c>
      <c r="H85" s="51">
        <f t="shared" si="45"/>
        <v>0</v>
      </c>
      <c r="I85" s="51">
        <f t="shared" si="45"/>
        <v>0</v>
      </c>
      <c r="J85" s="51">
        <f t="shared" si="45"/>
        <v>0</v>
      </c>
      <c r="K85" s="51">
        <f t="shared" si="45"/>
        <v>0</v>
      </c>
      <c r="L85" s="51">
        <f t="shared" si="45"/>
        <v>0</v>
      </c>
      <c r="M85" s="51">
        <f t="shared" si="45"/>
        <v>0</v>
      </c>
      <c r="N85" s="51">
        <f t="shared" si="45"/>
        <v>0</v>
      </c>
      <c r="O85" s="99">
        <f t="shared" si="45"/>
        <v>0</v>
      </c>
      <c r="P85" s="51">
        <f t="shared" si="45"/>
        <v>0</v>
      </c>
      <c r="Q85" s="104">
        <f t="shared" si="45"/>
        <v>0</v>
      </c>
      <c r="R85" s="51">
        <f t="shared" si="15"/>
        <v>0</v>
      </c>
      <c r="S85" s="51"/>
      <c r="T85" s="51">
        <f t="shared" si="13"/>
        <v>0</v>
      </c>
    </row>
    <row r="86" spans="2:20" x14ac:dyDescent="0.35">
      <c r="B86" s="8" t="s">
        <v>331</v>
      </c>
      <c r="C86" s="81">
        <f t="shared" ref="C86:Q86" si="46">IFERROR(C39/C$15,0)</f>
        <v>0.27827141775110037</v>
      </c>
      <c r="D86" s="81">
        <f t="shared" si="46"/>
        <v>0.24886323519278697</v>
      </c>
      <c r="E86" s="81">
        <f t="shared" si="46"/>
        <v>0.16266729039515379</v>
      </c>
      <c r="F86" s="81">
        <f t="shared" si="46"/>
        <v>0.2251664663850137</v>
      </c>
      <c r="G86" s="81">
        <f t="shared" si="46"/>
        <v>0.26174464792279728</v>
      </c>
      <c r="H86" s="81">
        <f t="shared" si="46"/>
        <v>0.2364676312938567</v>
      </c>
      <c r="I86" s="81">
        <f t="shared" si="46"/>
        <v>0.21902345593066075</v>
      </c>
      <c r="J86" s="81">
        <f t="shared" si="46"/>
        <v>0.20931868187978298</v>
      </c>
      <c r="K86" s="81">
        <f t="shared" si="46"/>
        <v>0.2113278711129945</v>
      </c>
      <c r="L86" s="81">
        <f t="shared" si="46"/>
        <v>0.31013515440708966</v>
      </c>
      <c r="M86" s="81">
        <f t="shared" si="46"/>
        <v>0.22836390486022193</v>
      </c>
      <c r="N86" s="81">
        <f t="shared" si="46"/>
        <v>0.21110623719606786</v>
      </c>
      <c r="O86" s="99">
        <f t="shared" si="46"/>
        <v>0.23473512612408054</v>
      </c>
      <c r="P86" s="81">
        <f t="shared" si="46"/>
        <v>0.20407910806591784</v>
      </c>
      <c r="Q86" s="104">
        <f t="shared" si="46"/>
        <v>0</v>
      </c>
      <c r="R86" s="81">
        <f t="shared" si="15"/>
        <v>0.27781481396668178</v>
      </c>
      <c r="S86" s="81"/>
      <c r="T86" s="81">
        <f t="shared" si="13"/>
        <v>0</v>
      </c>
    </row>
    <row r="87" spans="2:20" x14ac:dyDescent="0.35">
      <c r="B87" s="12" t="s">
        <v>332</v>
      </c>
      <c r="C87" s="51">
        <f t="shared" ref="C87:Q87" si="47">IFERROR(C40/C$15,0)</f>
        <v>6.7739205771428682E-2</v>
      </c>
      <c r="D87" s="51">
        <f t="shared" si="47"/>
        <v>4.3870857630475702E-3</v>
      </c>
      <c r="E87" s="51">
        <f t="shared" si="47"/>
        <v>4.8844842237578835E-3</v>
      </c>
      <c r="F87" s="51">
        <f t="shared" si="47"/>
        <v>4.2042651077434136E-3</v>
      </c>
      <c r="G87" s="51">
        <f t="shared" si="47"/>
        <v>4.0774493170258382E-3</v>
      </c>
      <c r="H87" s="51">
        <f t="shared" si="47"/>
        <v>4.1558153706139408E-3</v>
      </c>
      <c r="I87" s="51">
        <f t="shared" si="47"/>
        <v>4.1638851123620762E-3</v>
      </c>
      <c r="J87" s="51">
        <f t="shared" si="47"/>
        <v>4.6701341597636305E-3</v>
      </c>
      <c r="K87" s="51">
        <f t="shared" si="47"/>
        <v>4.4210520246735609E-3</v>
      </c>
      <c r="L87" s="51">
        <f t="shared" si="47"/>
        <v>3.8103874350333636E-3</v>
      </c>
      <c r="M87" s="51">
        <f t="shared" si="47"/>
        <v>4.0358095546785345E-3</v>
      </c>
      <c r="N87" s="51">
        <f t="shared" si="47"/>
        <v>5.6156849296529657E-2</v>
      </c>
      <c r="O87" s="99">
        <f t="shared" si="47"/>
        <v>1.3462778739523654E-2</v>
      </c>
      <c r="P87" s="51">
        <f t="shared" si="47"/>
        <v>5.3608853263228694E-2</v>
      </c>
      <c r="Q87" s="104">
        <f t="shared" si="47"/>
        <v>0</v>
      </c>
      <c r="R87" s="51">
        <f t="shared" si="15"/>
        <v>4.6389572875093342E-2</v>
      </c>
      <c r="S87" s="51"/>
      <c r="T87" s="51">
        <f t="shared" si="13"/>
        <v>0</v>
      </c>
    </row>
    <row r="88" spans="2:20" x14ac:dyDescent="0.35">
      <c r="B88" s="8" t="s">
        <v>336</v>
      </c>
      <c r="C88" s="81">
        <f t="shared" ref="C88:Q88" si="48">IFERROR(C41/C$15,0)</f>
        <v>0.21053221197967167</v>
      </c>
      <c r="D88" s="81">
        <f t="shared" si="48"/>
        <v>0.24447614942973939</v>
      </c>
      <c r="E88" s="81">
        <f t="shared" si="48"/>
        <v>0.1577828061713959</v>
      </c>
      <c r="F88" s="81">
        <f t="shared" si="48"/>
        <v>0.22096220127727029</v>
      </c>
      <c r="G88" s="81">
        <f t="shared" si="48"/>
        <v>0.25766719860577147</v>
      </c>
      <c r="H88" s="81">
        <f t="shared" si="48"/>
        <v>0.23231181592324276</v>
      </c>
      <c r="I88" s="81">
        <f t="shared" si="48"/>
        <v>0.21485957081829868</v>
      </c>
      <c r="J88" s="81">
        <f t="shared" si="48"/>
        <v>0.20464854772001936</v>
      </c>
      <c r="K88" s="81">
        <f t="shared" si="48"/>
        <v>0.20690681908832095</v>
      </c>
      <c r="L88" s="81">
        <f t="shared" si="48"/>
        <v>0.30632476697205629</v>
      </c>
      <c r="M88" s="81">
        <f t="shared" si="48"/>
        <v>0.22432809530554337</v>
      </c>
      <c r="N88" s="81">
        <f t="shared" si="48"/>
        <v>0.15494938789953822</v>
      </c>
      <c r="O88" s="99">
        <f t="shared" si="48"/>
        <v>0.22127234738455689</v>
      </c>
      <c r="P88" s="81">
        <f t="shared" si="48"/>
        <v>0.15047025480268914</v>
      </c>
      <c r="Q88" s="104">
        <f t="shared" si="48"/>
        <v>0</v>
      </c>
      <c r="R88" s="81">
        <f t="shared" si="15"/>
        <v>0.23142524109158844</v>
      </c>
      <c r="S88" s="81"/>
      <c r="T88" s="81">
        <f t="shared" si="13"/>
        <v>0</v>
      </c>
    </row>
    <row r="89" spans="2:20" x14ac:dyDescent="0.35">
      <c r="B89" s="12" t="s">
        <v>204</v>
      </c>
      <c r="C89" s="51">
        <f t="shared" ref="C89:Q89" si="49">IFERROR(C42/C$15,0)</f>
        <v>1.0897416729878645E-4</v>
      </c>
      <c r="D89" s="51">
        <f t="shared" si="49"/>
        <v>1.5820495781062669E-3</v>
      </c>
      <c r="E89" s="51">
        <f t="shared" si="49"/>
        <v>2.2835295309019815E-3</v>
      </c>
      <c r="F89" s="51">
        <f t="shared" si="49"/>
        <v>1.9471684744831251E-3</v>
      </c>
      <c r="G89" s="51">
        <f t="shared" si="49"/>
        <v>1.8609429480713315E-3</v>
      </c>
      <c r="H89" s="51">
        <f t="shared" si="49"/>
        <v>1.7192996020836439E-3</v>
      </c>
      <c r="I89" s="51">
        <f t="shared" si="49"/>
        <v>6.844901846961277E-4</v>
      </c>
      <c r="J89" s="51">
        <f t="shared" si="49"/>
        <v>9.6579578900087557E-4</v>
      </c>
      <c r="K89" s="51">
        <f t="shared" si="49"/>
        <v>7.3653387569280943E-4</v>
      </c>
      <c r="L89" s="51">
        <f t="shared" si="49"/>
        <v>6.4415232856658198E-4</v>
      </c>
      <c r="M89" s="51">
        <f t="shared" si="49"/>
        <v>6.1530840902274337E-4</v>
      </c>
      <c r="N89" s="51">
        <f t="shared" si="49"/>
        <v>3.4256841862681429E-3</v>
      </c>
      <c r="O89" s="99">
        <f t="shared" si="49"/>
        <v>1.3892939585350081E-3</v>
      </c>
      <c r="P89" s="51">
        <f t="shared" si="49"/>
        <v>1.2469243904219094E-3</v>
      </c>
      <c r="Q89" s="104">
        <f t="shared" si="49"/>
        <v>0</v>
      </c>
      <c r="R89" s="51">
        <f t="shared" si="15"/>
        <v>4.2932065327383598E-4</v>
      </c>
      <c r="S89" s="51"/>
      <c r="T89" s="51">
        <f t="shared" si="13"/>
        <v>0</v>
      </c>
    </row>
    <row r="90" spans="2:20" x14ac:dyDescent="0.35">
      <c r="B90" s="27" t="s">
        <v>333</v>
      </c>
      <c r="C90" s="81">
        <f t="shared" ref="C90:Q90" si="50">IFERROR(C43/C$15,0)</f>
        <v>0.21042323781237288</v>
      </c>
      <c r="D90" s="81">
        <f t="shared" si="50"/>
        <v>0.24289409985163316</v>
      </c>
      <c r="E90" s="81">
        <f t="shared" si="50"/>
        <v>0.15549927664049393</v>
      </c>
      <c r="F90" s="81">
        <f t="shared" si="50"/>
        <v>0.21901503280278717</v>
      </c>
      <c r="G90" s="81">
        <f t="shared" si="50"/>
        <v>0.2558062556577001</v>
      </c>
      <c r="H90" s="81">
        <f t="shared" si="50"/>
        <v>0.23059251632115912</v>
      </c>
      <c r="I90" s="81">
        <f t="shared" si="50"/>
        <v>0.21417508063360255</v>
      </c>
      <c r="J90" s="81">
        <f t="shared" si="50"/>
        <v>0.20368275193101848</v>
      </c>
      <c r="K90" s="81">
        <f t="shared" si="50"/>
        <v>0.20617028521262815</v>
      </c>
      <c r="L90" s="81">
        <f t="shared" si="50"/>
        <v>0.30568061464348967</v>
      </c>
      <c r="M90" s="81">
        <f t="shared" si="50"/>
        <v>0.22371278689652063</v>
      </c>
      <c r="N90" s="81">
        <f t="shared" si="50"/>
        <v>0.15152370371327009</v>
      </c>
      <c r="O90" s="99">
        <f t="shared" si="50"/>
        <v>0.21988305342602188</v>
      </c>
      <c r="P90" s="81">
        <f t="shared" si="50"/>
        <v>0.14922333041226724</v>
      </c>
      <c r="Q90" s="104">
        <f t="shared" si="50"/>
        <v>0</v>
      </c>
      <c r="R90" s="81">
        <f t="shared" si="15"/>
        <v>0.2309959204383146</v>
      </c>
      <c r="S90" s="81"/>
      <c r="T90" s="81">
        <f t="shared" si="13"/>
        <v>0</v>
      </c>
    </row>
    <row r="91" spans="2:20" x14ac:dyDescent="0.35">
      <c r="B91" s="12" t="s">
        <v>334</v>
      </c>
      <c r="C91" s="51">
        <f t="shared" ref="C91:Q91" si="51">IFERROR(C44/C$15,0)</f>
        <v>5.4451930676583306E-2</v>
      </c>
      <c r="D91" s="51">
        <f t="shared" si="51"/>
        <v>6.2854525119822771E-2</v>
      </c>
      <c r="E91" s="51">
        <f t="shared" si="51"/>
        <v>4.0239072071673786E-2</v>
      </c>
      <c r="F91" s="51">
        <f t="shared" si="51"/>
        <v>5.6675258432915106E-2</v>
      </c>
      <c r="G91" s="51">
        <f t="shared" si="51"/>
        <v>6.6195847210228601E-2</v>
      </c>
      <c r="H91" s="51">
        <f t="shared" si="51"/>
        <v>5.9671202875675726E-2</v>
      </c>
      <c r="I91" s="51">
        <f t="shared" si="51"/>
        <v>5.5422807692520094E-2</v>
      </c>
      <c r="J91" s="51">
        <f t="shared" si="51"/>
        <v>5.2707672419967808E-2</v>
      </c>
      <c r="K91" s="51">
        <f t="shared" si="51"/>
        <v>5.3351379793802056E-2</v>
      </c>
      <c r="L91" s="51">
        <f t="shared" si="51"/>
        <v>7.9102003233047655E-2</v>
      </c>
      <c r="M91" s="51">
        <f t="shared" si="51"/>
        <v>5.7890912097914304E-2</v>
      </c>
      <c r="N91" s="51">
        <f t="shared" si="51"/>
        <v>3.9210299661917788E-2</v>
      </c>
      <c r="O91" s="99">
        <f t="shared" si="51"/>
        <v>5.6899879056063099E-2</v>
      </c>
      <c r="P91" s="51">
        <f t="shared" si="51"/>
        <v>3.6553908736130125E-2</v>
      </c>
      <c r="Q91" s="104">
        <f t="shared" si="51"/>
        <v>0</v>
      </c>
      <c r="R91" s="51">
        <f t="shared" si="15"/>
        <v>5.9775593119122054E-2</v>
      </c>
      <c r="S91" s="51"/>
      <c r="T91" s="51">
        <f t="shared" si="13"/>
        <v>0</v>
      </c>
    </row>
    <row r="92" spans="2:20" x14ac:dyDescent="0.35">
      <c r="B92" s="44" t="s">
        <v>335</v>
      </c>
      <c r="C92" s="82">
        <f t="shared" ref="C92:Q92" si="52">IFERROR(C45/C$15,0)</f>
        <v>0.15597130713578958</v>
      </c>
      <c r="D92" s="82">
        <f t="shared" si="52"/>
        <v>0.18003957473181037</v>
      </c>
      <c r="E92" s="82">
        <f t="shared" si="52"/>
        <v>0.11526020456882013</v>
      </c>
      <c r="F92" s="82">
        <f t="shared" si="52"/>
        <v>0.16233977436987207</v>
      </c>
      <c r="G92" s="82">
        <f t="shared" si="52"/>
        <v>0.18961040844747151</v>
      </c>
      <c r="H92" s="82">
        <f t="shared" si="52"/>
        <v>0.17092131344548339</v>
      </c>
      <c r="I92" s="82">
        <f t="shared" si="52"/>
        <v>0.15875227294108246</v>
      </c>
      <c r="J92" s="82">
        <f t="shared" si="52"/>
        <v>0.15097507951105069</v>
      </c>
      <c r="K92" s="82">
        <f t="shared" si="52"/>
        <v>0.15281890541882609</v>
      </c>
      <c r="L92" s="82">
        <f t="shared" si="52"/>
        <v>0.22657861141044203</v>
      </c>
      <c r="M92" s="82">
        <f t="shared" si="52"/>
        <v>0.16582187479860633</v>
      </c>
      <c r="N92" s="82">
        <f t="shared" si="52"/>
        <v>0.1123134040513523</v>
      </c>
      <c r="O92" s="100">
        <f t="shared" si="52"/>
        <v>0.16298317436995877</v>
      </c>
      <c r="P92" s="82">
        <f t="shared" si="52"/>
        <v>0.11266942167613712</v>
      </c>
      <c r="Q92" s="104">
        <f t="shared" si="52"/>
        <v>0</v>
      </c>
      <c r="R92" s="82">
        <f t="shared" si="15"/>
        <v>0.17122032731919257</v>
      </c>
      <c r="S92" s="82"/>
      <c r="T92" s="82">
        <f t="shared" si="13"/>
        <v>0</v>
      </c>
    </row>
  </sheetData>
  <mergeCells count="1">
    <mergeCell ref="U4:W4"/>
  </mergeCells>
  <phoneticPr fontId="7" type="noConversion"/>
  <pageMargins left="0.31496062992125984" right="0.31496062992125984" top="0.74803149606299213" bottom="0.74803149606299213" header="0.31496062992125984" footer="0.31496062992125984"/>
  <pageSetup orientation="landscape" r:id="rId1"/>
  <ignoredErrors>
    <ignoredError sqref="C13:K13 O13 D31:M31 C42:P43 C45:P45 O44:P44 C44:N44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43A3-3EE5-4A43-BA69-D43AF3BF7598}">
  <dimension ref="A1:AA85"/>
  <sheetViews>
    <sheetView showGridLines="0" topLeftCell="A46" workbookViewId="0">
      <selection activeCell="S51" sqref="S51"/>
    </sheetView>
  </sheetViews>
  <sheetFormatPr defaultColWidth="9.08984375" defaultRowHeight="14.5" x14ac:dyDescent="0.35"/>
  <cols>
    <col min="1" max="1" width="2.36328125" style="28" customWidth="1"/>
    <col min="2" max="2" width="33.453125" style="12" bestFit="1" customWidth="1"/>
    <col min="3" max="3" width="7" style="12" hidden="1" customWidth="1"/>
    <col min="4" max="4" width="7" style="12" bestFit="1" customWidth="1"/>
    <col min="5" max="5" width="15.1796875" style="12" hidden="1" customWidth="1"/>
    <col min="6" max="14" width="7" style="12" hidden="1" customWidth="1"/>
    <col min="15" max="15" width="7.08984375" style="12" hidden="1" customWidth="1"/>
    <col min="16" max="16" width="7" style="12" hidden="1" customWidth="1"/>
    <col min="17" max="17" width="7.90625" style="12" hidden="1" customWidth="1"/>
    <col min="18" max="18" width="9.08984375" style="12"/>
    <col min="19" max="19" width="12" style="12" bestFit="1" customWidth="1"/>
    <col min="20" max="25" width="9.08984375" style="12"/>
    <col min="26" max="26" width="12" style="12" bestFit="1" customWidth="1"/>
    <col min="27" max="27" width="11.36328125" style="12" bestFit="1" customWidth="1"/>
    <col min="28" max="16384" width="9.08984375" style="12"/>
  </cols>
  <sheetData>
    <row r="1" spans="2:23" ht="23.5" x14ac:dyDescent="0.55000000000000004">
      <c r="B1" s="63" t="s">
        <v>505</v>
      </c>
      <c r="C1" s="29"/>
      <c r="D1" s="29"/>
      <c r="E1" s="29"/>
      <c r="F1" s="29"/>
      <c r="G1" s="29"/>
      <c r="H1" s="29"/>
      <c r="I1"/>
      <c r="J1"/>
    </row>
    <row r="2" spans="2:23" ht="15" thickBot="1" x14ac:dyDescent="0.4">
      <c r="B2" s="30" t="s">
        <v>633</v>
      </c>
      <c r="C2" s="31"/>
      <c r="D2" s="31"/>
      <c r="E2" s="32" t="s">
        <v>465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2:23" ht="8.25" customHeight="1" x14ac:dyDescent="0.35"/>
    <row r="4" spans="2:23" x14ac:dyDescent="0.35">
      <c r="C4" s="132" t="s">
        <v>636</v>
      </c>
      <c r="D4" s="132" t="s">
        <v>636</v>
      </c>
      <c r="E4" s="132"/>
      <c r="F4" s="132"/>
      <c r="G4" s="132"/>
      <c r="H4" s="132"/>
      <c r="I4" s="132"/>
      <c r="J4" s="132"/>
      <c r="K4" s="132"/>
      <c r="L4" s="132"/>
      <c r="M4" s="132"/>
      <c r="N4" s="132" t="s">
        <v>634</v>
      </c>
      <c r="R4" s="132" t="s">
        <v>634</v>
      </c>
      <c r="S4" s="132" t="s">
        <v>635</v>
      </c>
      <c r="T4" s="132" t="s">
        <v>627</v>
      </c>
      <c r="U4" s="174" t="s">
        <v>628</v>
      </c>
      <c r="V4" s="175"/>
      <c r="W4" s="176"/>
    </row>
    <row r="5" spans="2:23" x14ac:dyDescent="0.35">
      <c r="B5" s="33" t="s">
        <v>466</v>
      </c>
      <c r="C5" s="132">
        <v>45748</v>
      </c>
      <c r="D5" s="132">
        <v>45778</v>
      </c>
      <c r="E5" s="132">
        <v>45809</v>
      </c>
      <c r="F5" s="132">
        <v>45839</v>
      </c>
      <c r="G5" s="132">
        <v>45870</v>
      </c>
      <c r="H5" s="132">
        <v>45901</v>
      </c>
      <c r="I5" s="132">
        <v>45931</v>
      </c>
      <c r="J5" s="132">
        <v>45962</v>
      </c>
      <c r="K5" s="132">
        <v>45992</v>
      </c>
      <c r="L5" s="132">
        <v>46023</v>
      </c>
      <c r="M5" s="132">
        <v>46054</v>
      </c>
      <c r="N5" s="132">
        <v>46082</v>
      </c>
      <c r="O5" s="34" t="s">
        <v>219</v>
      </c>
      <c r="P5" s="34" t="s">
        <v>613</v>
      </c>
      <c r="Q5" s="34" t="s">
        <v>614</v>
      </c>
      <c r="R5" s="132">
        <v>46113</v>
      </c>
      <c r="S5" s="132">
        <v>46143</v>
      </c>
      <c r="T5" s="132">
        <v>46143</v>
      </c>
      <c r="U5" s="132" t="s">
        <v>629</v>
      </c>
      <c r="V5" s="132" t="s">
        <v>630</v>
      </c>
      <c r="W5" s="132" t="s">
        <v>631</v>
      </c>
    </row>
    <row r="6" spans="2:23" x14ac:dyDescent="0.35">
      <c r="B6" s="8" t="s">
        <v>220</v>
      </c>
      <c r="C6" s="117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7"/>
      <c r="O6" s="140"/>
      <c r="P6" s="139"/>
      <c r="Q6" s="141"/>
      <c r="R6" s="137"/>
      <c r="S6" s="137"/>
      <c r="T6" s="137"/>
      <c r="U6" s="137"/>
      <c r="V6" s="137"/>
      <c r="W6" s="137"/>
    </row>
    <row r="7" spans="2:23" x14ac:dyDescent="0.35">
      <c r="B7" s="12" t="s">
        <v>202</v>
      </c>
      <c r="C7" s="118">
        <f>-SUMIFS(TB_Calicut[Apr],TB_Calicut[MIS_Group1],$B7)/10^5</f>
        <v>11.9057099</v>
      </c>
      <c r="D7" s="39">
        <f>-SUMIFS(TB_Calicut[May],TB_Calicut[MIS_Group1],$B7)/10^5</f>
        <v>8.9249299999999998</v>
      </c>
      <c r="E7" s="39">
        <f>-SUMIFS(TB_Calicut[Jun],TB_Calicut[MIS_Group1],$B7)/10^5</f>
        <v>9.9301598999999996</v>
      </c>
      <c r="F7" s="39">
        <f>-SUMIFS(TB_Calicut[Jul],TB_Calicut[MIS_Group1],$B7)/10^5</f>
        <v>12.460929999999999</v>
      </c>
      <c r="G7" s="39">
        <f>-SUMIFS(TB_Calicut[Aug],TB_Calicut[MIS_Group1],$B7)/10^5</f>
        <v>12.5601561</v>
      </c>
      <c r="H7" s="39">
        <f>-SUMIFS(TB_Calicut[Sep],TB_Calicut[MIS_Group1],$B7)/10^5</f>
        <v>12.570121899999997</v>
      </c>
      <c r="I7" s="39">
        <f>-SUMIFS(TB_Calicut[Oct],TB_Calicut[MIS_Group1],$B7)/10^5</f>
        <v>11.879448999999999</v>
      </c>
      <c r="J7" s="39">
        <f>-SUMIFS(TB_Calicut[Nov],TB_Calicut[MIS_Group1],$B7)/10^5</f>
        <v>10.45698</v>
      </c>
      <c r="K7" s="39">
        <f>-SUMIFS(TB_Calicut[Dec],TB_Calicut[MIS_Group1],$B7)/10^5</f>
        <v>10.557040000000001</v>
      </c>
      <c r="L7" s="39">
        <f>-SUMIFS(TB_Calicut[Jan],TB_Calicut[MIS_Group1],$B7)/10^5</f>
        <v>10.1458703</v>
      </c>
      <c r="M7" s="39">
        <f>-SUMIFS(TB_Calicut[Feb],TB_Calicut[MIS_Group1],$B7)/10^5</f>
        <v>11.6728646</v>
      </c>
      <c r="N7" s="134">
        <f>-SUMIFS(TB_Calicut[Mar],TB_Calicut[MIS_Group1],$B7)/10^5</f>
        <v>10.566660000000001</v>
      </c>
      <c r="O7" s="142">
        <f>SUM(C7:N7)</f>
        <v>133.6308717</v>
      </c>
      <c r="P7" s="39">
        <v>168.79423842859242</v>
      </c>
      <c r="Q7" s="102"/>
      <c r="R7" s="134">
        <f>-SUMIFS(TB_Calicut[Apr_26],TB_Calicut[MIS_Group1],$B7)/10^5</f>
        <v>9.1595549999999992</v>
      </c>
      <c r="S7" s="134">
        <f>-SUMIFS(TB_Calicut!AB:AB,TB_Calicut!J:J,PL_Calicut!B7)/10^5</f>
        <v>10.6707178</v>
      </c>
      <c r="T7" s="134"/>
      <c r="U7" s="149">
        <f>IFERROR(R7/C7-1,"-")</f>
        <v>-0.23065864388313384</v>
      </c>
      <c r="V7" s="149">
        <f>IFERROR(R7/N7-1,"-")</f>
        <v>-0.133164595056527</v>
      </c>
      <c r="W7" s="149" t="str">
        <f>IFERROR(R7/T7,"-")</f>
        <v>-</v>
      </c>
    </row>
    <row r="8" spans="2:23" x14ac:dyDescent="0.35">
      <c r="B8" s="12" t="s">
        <v>201</v>
      </c>
      <c r="C8" s="118">
        <f>-SUMIFS(TB_Calicut[Apr],TB_Calicut[MIS_Group1],$B8)/10^5</f>
        <v>16.373898000000004</v>
      </c>
      <c r="D8" s="39">
        <f>-SUMIFS(TB_Calicut[May],TB_Calicut[MIS_Group1],$B8)/10^5</f>
        <v>14.143823300000001</v>
      </c>
      <c r="E8" s="39">
        <f>-SUMIFS(TB_Calicut[Jun],TB_Calicut[MIS_Group1],$B8)/10^5</f>
        <v>14.985200999999998</v>
      </c>
      <c r="F8" s="39">
        <f>-SUMIFS(TB_Calicut[Jul],TB_Calicut[MIS_Group1],$B8)/10^5</f>
        <v>18.0458529</v>
      </c>
      <c r="G8" s="39">
        <f>-SUMIFS(TB_Calicut[Aug],TB_Calicut[MIS_Group1],$B8)/10^5</f>
        <v>16.696174899999999</v>
      </c>
      <c r="H8" s="39">
        <f>-SUMIFS(TB_Calicut[Sep],TB_Calicut[MIS_Group1],$B8)/10^5</f>
        <v>19.381276100000001</v>
      </c>
      <c r="I8" s="39">
        <f>-SUMIFS(TB_Calicut[Oct],TB_Calicut[MIS_Group1],$B8)/10^5</f>
        <v>20.670918999999998</v>
      </c>
      <c r="J8" s="39">
        <f>-SUMIFS(TB_Calicut[Nov],TB_Calicut[MIS_Group1],$B8)/10^5</f>
        <v>17.948124700000001</v>
      </c>
      <c r="K8" s="39">
        <f>-SUMIFS(TB_Calicut[Dec],TB_Calicut[MIS_Group1],$B8)/10^5</f>
        <v>26.2123414</v>
      </c>
      <c r="L8" s="39">
        <f>-SUMIFS(TB_Calicut[Jan],TB_Calicut[MIS_Group1],$B8)/10^5</f>
        <v>18.126334700000001</v>
      </c>
      <c r="M8" s="39">
        <f>-SUMIFS(TB_Calicut[Feb],TB_Calicut[MIS_Group1],$B8)/10^5</f>
        <v>21.759343300000005</v>
      </c>
      <c r="N8" s="134">
        <f>-SUMIFS(TB_Calicut[Mar],TB_Calicut[MIS_Group1],$B8)/10^5</f>
        <v>19.073115600000001</v>
      </c>
      <c r="O8" s="142">
        <f>SUM(C8:N8)</f>
        <v>223.4164049</v>
      </c>
      <c r="P8" s="39">
        <v>282.20576157140749</v>
      </c>
      <c r="Q8" s="102"/>
      <c r="R8" s="134">
        <f>-SUMIFS(TB_Calicut[Apr_26],TB_Calicut[MIS_Group1],$B8)/10^5</f>
        <v>21.342837400000001</v>
      </c>
      <c r="S8" s="134">
        <f>-SUMIFS(TB_Calicut!AB:AB,TB_Calicut!J:J,PL_Calicut!B8)/10^5</f>
        <v>16.363266599999999</v>
      </c>
      <c r="T8" s="134"/>
      <c r="U8" s="149">
        <f t="shared" ref="U8:U41" si="0">IFERROR(R8/C8-1,"-")</f>
        <v>0.3034671035571368</v>
      </c>
      <c r="V8" s="149">
        <f t="shared" ref="V8:V41" si="1">IFERROR(R8/N8-1,"-")</f>
        <v>0.11900110331214053</v>
      </c>
      <c r="W8" s="149" t="str">
        <f t="shared" ref="W8:W41" si="2">IFERROR(R8/T8,"-")</f>
        <v>-</v>
      </c>
    </row>
    <row r="9" spans="2:23" x14ac:dyDescent="0.35">
      <c r="B9" s="8" t="s">
        <v>329</v>
      </c>
      <c r="C9" s="119">
        <f t="shared" ref="C9:O9" si="3">SUM(C7:C8)</f>
        <v>28.279607900000002</v>
      </c>
      <c r="D9" s="40">
        <f t="shared" si="3"/>
        <v>23.068753300000001</v>
      </c>
      <c r="E9" s="40">
        <f t="shared" si="3"/>
        <v>24.915360899999996</v>
      </c>
      <c r="F9" s="40">
        <f t="shared" si="3"/>
        <v>30.506782899999997</v>
      </c>
      <c r="G9" s="40">
        <f t="shared" si="3"/>
        <v>29.256330999999999</v>
      </c>
      <c r="H9" s="40">
        <f t="shared" si="3"/>
        <v>31.951397999999998</v>
      </c>
      <c r="I9" s="40">
        <f t="shared" si="3"/>
        <v>32.550367999999999</v>
      </c>
      <c r="J9" s="40">
        <f t="shared" si="3"/>
        <v>28.405104700000003</v>
      </c>
      <c r="K9" s="40">
        <f t="shared" si="3"/>
        <v>36.7693814</v>
      </c>
      <c r="L9" s="40">
        <f t="shared" si="3"/>
        <v>28.272205</v>
      </c>
      <c r="M9" s="40">
        <f t="shared" si="3"/>
        <v>33.432207900000009</v>
      </c>
      <c r="N9" s="135">
        <f t="shared" si="3"/>
        <v>29.6397756</v>
      </c>
      <c r="O9" s="143">
        <f t="shared" si="3"/>
        <v>357.04727660000003</v>
      </c>
      <c r="P9" s="40">
        <f>SUM(P7:P8)</f>
        <v>450.99999999999989</v>
      </c>
      <c r="Q9" s="144">
        <f>SUM(Q7:Q8)</f>
        <v>0</v>
      </c>
      <c r="R9" s="135">
        <f>SUM(R7:R8)</f>
        <v>30.502392399999998</v>
      </c>
      <c r="S9" s="135">
        <f>SUM(S7:S8)</f>
        <v>27.033984400000001</v>
      </c>
      <c r="T9" s="135"/>
      <c r="U9" s="153">
        <f t="shared" si="0"/>
        <v>7.8600258810519019E-2</v>
      </c>
      <c r="V9" s="153">
        <f t="shared" si="1"/>
        <v>2.9103351241296149E-2</v>
      </c>
      <c r="W9" s="153" t="str">
        <f t="shared" si="2"/>
        <v>-</v>
      </c>
    </row>
    <row r="10" spans="2:23" x14ac:dyDescent="0.35">
      <c r="B10" s="12" t="s">
        <v>222</v>
      </c>
      <c r="C10" s="118">
        <f>-SUMIFS(TB_Calicut[Apr],TB_Calicut[MIS_Group1],$B10)/10^5</f>
        <v>0</v>
      </c>
      <c r="D10" s="39">
        <f>-SUMIFS(TB_Calicut[May],TB_Calicut[MIS_Group1],$B10)/10^5</f>
        <v>0</v>
      </c>
      <c r="E10" s="39">
        <f>-SUMIFS(TB_Calicut[Jun],TB_Calicut[MIS_Group1],$B10)/10^5</f>
        <v>0</v>
      </c>
      <c r="F10" s="39">
        <f>-SUMIFS(TB_Calicut[Jul],TB_Calicut[MIS_Group1],$B10)/10^5</f>
        <v>0.67108999999999996</v>
      </c>
      <c r="G10" s="39">
        <f>-SUMIFS(TB_Calicut[Aug],TB_Calicut[MIS_Group1],$B10)/10^5</f>
        <v>0.11326</v>
      </c>
      <c r="H10" s="39">
        <f>-SUMIFS(TB_Calicut[Sep],TB_Calicut[MIS_Group1],$B10)/10^5</f>
        <v>0.11461</v>
      </c>
      <c r="I10" s="39">
        <f>-SUMIFS(TB_Calicut[Oct],TB_Calicut[MIS_Group1],$B10)/10^5</f>
        <v>0.12259</v>
      </c>
      <c r="J10" s="39">
        <f>-SUMIFS(TB_Calicut[Nov],TB_Calicut[MIS_Group1],$B10)/10^5</f>
        <v>0.13442999999999999</v>
      </c>
      <c r="K10" s="39">
        <f>-SUMIFS(TB_Calicut[Dec],TB_Calicut[MIS_Group1],$B10)/10^5</f>
        <v>0.12834000000000001</v>
      </c>
      <c r="L10" s="39">
        <f>-SUMIFS(TB_Calicut[Jan],TB_Calicut[MIS_Group1],$B10)/10^5</f>
        <v>9.3950000000000006E-2</v>
      </c>
      <c r="M10" s="39">
        <f>-SUMIFS(TB_Calicut[Feb],TB_Calicut[MIS_Group1],$B10)/10^5</f>
        <v>0.10104</v>
      </c>
      <c r="N10" s="134">
        <f>-SUMIFS(TB_Calicut[Mar],TB_Calicut[MIS_Group1],$B10)/10^5</f>
        <v>9.6180000000000002E-2</v>
      </c>
      <c r="O10" s="142">
        <f>SUM(C10:N10)</f>
        <v>1.5754900000000001</v>
      </c>
      <c r="P10" s="39">
        <v>7.5599999999999996E-6</v>
      </c>
      <c r="Q10" s="102"/>
      <c r="R10" s="134">
        <f>-SUMIFS(TB_Calicut[Apr_26],TB_Calicut[MIS_Group1],$B10)/10^5</f>
        <v>6.7280000000000006E-2</v>
      </c>
      <c r="S10" s="134">
        <f>-SUMIFS(TB_Calicut!AB:AB,TB_Calicut!J:J,PL_Calicut!B10)/10^5</f>
        <v>0.11769</v>
      </c>
      <c r="T10" s="134"/>
      <c r="U10" s="149" t="str">
        <f t="shared" si="0"/>
        <v>-</v>
      </c>
      <c r="V10" s="149">
        <f t="shared" si="1"/>
        <v>-0.30047826991058424</v>
      </c>
      <c r="W10" s="149" t="str">
        <f t="shared" si="2"/>
        <v>-</v>
      </c>
    </row>
    <row r="11" spans="2:23" x14ac:dyDescent="0.35">
      <c r="B11" s="26" t="s">
        <v>223</v>
      </c>
      <c r="C11" s="120">
        <f>SUM(C9:C10)</f>
        <v>28.279607900000002</v>
      </c>
      <c r="D11" s="41">
        <f t="shared" ref="D11:O11" si="4">SUM(D9:D10)</f>
        <v>23.068753300000001</v>
      </c>
      <c r="E11" s="41">
        <f t="shared" si="4"/>
        <v>24.915360899999996</v>
      </c>
      <c r="F11" s="41">
        <f t="shared" si="4"/>
        <v>31.177872899999997</v>
      </c>
      <c r="G11" s="41">
        <f t="shared" si="4"/>
        <v>29.369591</v>
      </c>
      <c r="H11" s="41">
        <f t="shared" si="4"/>
        <v>32.066007999999997</v>
      </c>
      <c r="I11" s="41">
        <f t="shared" si="4"/>
        <v>32.672958000000001</v>
      </c>
      <c r="J11" s="41">
        <f t="shared" si="4"/>
        <v>28.539534700000001</v>
      </c>
      <c r="K11" s="41">
        <f t="shared" si="4"/>
        <v>36.897721400000002</v>
      </c>
      <c r="L11" s="41">
        <f t="shared" si="4"/>
        <v>28.366154999999999</v>
      </c>
      <c r="M11" s="41">
        <f t="shared" si="4"/>
        <v>33.533247900000006</v>
      </c>
      <c r="N11" s="124">
        <f t="shared" si="4"/>
        <v>29.7359556</v>
      </c>
      <c r="O11" s="145">
        <f t="shared" si="4"/>
        <v>358.62276660000003</v>
      </c>
      <c r="P11" s="41">
        <f>SUM(P9:P10)</f>
        <v>451.00000755999986</v>
      </c>
      <c r="Q11" s="41">
        <f>SUM(Q9:Q10)</f>
        <v>0</v>
      </c>
      <c r="R11" s="124">
        <f>SUM(R9:R10)</f>
        <v>30.569672399999998</v>
      </c>
      <c r="S11" s="124">
        <f>SUM(S9:S10)</f>
        <v>27.151674400000001</v>
      </c>
      <c r="T11" s="124"/>
      <c r="U11" s="156">
        <f t="shared" si="0"/>
        <v>8.0979358274624325E-2</v>
      </c>
      <c r="V11" s="156">
        <f t="shared" si="1"/>
        <v>2.8037329999241578E-2</v>
      </c>
      <c r="W11" s="156" t="str">
        <f t="shared" si="2"/>
        <v>-</v>
      </c>
    </row>
    <row r="12" spans="2:23" ht="6" customHeight="1" x14ac:dyDescent="0.35">
      <c r="C12" s="11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134"/>
      <c r="O12" s="146"/>
      <c r="P12" s="39"/>
      <c r="Q12" s="102"/>
      <c r="R12" s="134"/>
      <c r="S12" s="134"/>
      <c r="T12" s="134"/>
      <c r="U12" s="149" t="str">
        <f t="shared" si="0"/>
        <v>-</v>
      </c>
      <c r="V12" s="149" t="str">
        <f t="shared" si="1"/>
        <v>-</v>
      </c>
      <c r="W12" s="149" t="str">
        <f t="shared" si="2"/>
        <v>-</v>
      </c>
    </row>
    <row r="13" spans="2:23" x14ac:dyDescent="0.35">
      <c r="B13" s="12" t="s">
        <v>268</v>
      </c>
      <c r="C13" s="118">
        <f>SUMIFS(TB_Calicut[Apr],TB_Calicut[MIS_Group1],$B13)/10^5</f>
        <v>7.341071863000046</v>
      </c>
      <c r="D13" s="39">
        <f>SUMIFS(TB_Calicut[May],TB_Calicut[MIS_Group1],$B13)/10^5</f>
        <v>10.267810317999997</v>
      </c>
      <c r="E13" s="39">
        <f>SUMIFS(TB_Calicut[Jun],TB_Calicut[MIS_Group1],$B13)/10^5</f>
        <v>10.483299442</v>
      </c>
      <c r="F13" s="39">
        <f>SUMIFS(TB_Calicut[Jul],TB_Calicut[MIS_Group1],$B13)/10^5</f>
        <v>12.919084131999998</v>
      </c>
      <c r="G13" s="39">
        <f>SUMIFS(TB_Calicut[Aug],TB_Calicut[MIS_Group1],$B13)/10^5</f>
        <v>10.564762948999999</v>
      </c>
      <c r="H13" s="39">
        <f>SUMIFS(TB_Calicut[Sep],TB_Calicut[MIS_Group1],$B13)/10^5</f>
        <v>13.330287679000001</v>
      </c>
      <c r="I13" s="39">
        <f>SUMIFS(TB_Calicut[Oct],TB_Calicut[MIS_Group1],$B13)/10^5</f>
        <v>15.671179294999998</v>
      </c>
      <c r="J13" s="39">
        <f>SUMIFS(TB_Calicut[Nov],TB_Calicut[MIS_Group1],$B13)/10^5</f>
        <v>12.886412040000002</v>
      </c>
      <c r="K13" s="39">
        <f>SUMIFS(TB_Calicut[Dec],TB_Calicut[MIS_Group1],$B13)/10^5</f>
        <v>18.539977589999999</v>
      </c>
      <c r="L13" s="39">
        <f>SUMIFS(TB_Calicut[Jan],TB_Calicut[MIS_Group1],$B13)/10^5</f>
        <v>12.403137946000001</v>
      </c>
      <c r="M13" s="39">
        <f>SUMIFS(TB_Calicut[Feb],TB_Calicut[MIS_Group1],$B13)/10^5</f>
        <v>16.044492443999996</v>
      </c>
      <c r="N13" s="134">
        <f>SUMIFS(TB_Calicut[Mar],TB_Calicut[MIS_Group1],$B13)/10^5</f>
        <v>15.665462021999996</v>
      </c>
      <c r="O13" s="146">
        <f>SUM(C13:N13)</f>
        <v>156.11697772000002</v>
      </c>
      <c r="P13" s="39">
        <v>198.45885112364115</v>
      </c>
      <c r="Q13" s="102"/>
      <c r="R13" s="134">
        <f>SUMIFS(TB_Calicut[Apr_26],TB_Calicut[MIS_Group1],$B13)/10^5</f>
        <v>15.661630059000002</v>
      </c>
      <c r="S13" s="134">
        <f>SUMIFS(TB_Calicut!AB:AB,TB_Calicut!J:J,PL_Calicut!B13)/10^5</f>
        <v>11.888618169999997</v>
      </c>
      <c r="T13" s="134"/>
      <c r="U13" s="149">
        <f t="shared" si="0"/>
        <v>1.13342552031627</v>
      </c>
      <c r="V13" s="149">
        <f t="shared" si="1"/>
        <v>-2.4461219175109239E-4</v>
      </c>
      <c r="W13" s="149" t="str">
        <f t="shared" si="2"/>
        <v>-</v>
      </c>
    </row>
    <row r="14" spans="2:23" x14ac:dyDescent="0.35">
      <c r="B14" s="12" t="s">
        <v>205</v>
      </c>
      <c r="C14" s="118">
        <f>SUMIFS(TB_Calicut[Apr],TB_Calicut[MIS_Group1],$B14)/10^5</f>
        <v>10.429930000000001</v>
      </c>
      <c r="D14" s="39">
        <f>SUMIFS(TB_Calicut[May],TB_Calicut[MIS_Group1],$B14)/10^5</f>
        <v>10.351900000000001</v>
      </c>
      <c r="E14" s="39">
        <f>SUMIFS(TB_Calicut[Jun],TB_Calicut[MIS_Group1],$B14)/10^5</f>
        <v>9.92</v>
      </c>
      <c r="F14" s="39">
        <f>SUMIFS(TB_Calicut[Jul],TB_Calicut[MIS_Group1],$B14)/10^5</f>
        <v>11.84557</v>
      </c>
      <c r="G14" s="39">
        <f>SUMIFS(TB_Calicut[Aug],TB_Calicut[MIS_Group1],$B14)/10^5</f>
        <v>11.475</v>
      </c>
      <c r="H14" s="39">
        <f>SUMIFS(TB_Calicut[Sep],TB_Calicut[MIS_Group1],$B14)/10^5</f>
        <v>11.8407</v>
      </c>
      <c r="I14" s="39">
        <f>SUMIFS(TB_Calicut[Oct],TB_Calicut[MIS_Group1],$B14)/10^5</f>
        <v>11.190300000000001</v>
      </c>
      <c r="J14" s="39">
        <f>SUMIFS(TB_Calicut[Nov],TB_Calicut[MIS_Group1],$B14)/10^5</f>
        <v>10.6797</v>
      </c>
      <c r="K14" s="39">
        <f>SUMIFS(TB_Calicut[Dec],TB_Calicut[MIS_Group1],$B14)/10^5</f>
        <v>10.64354</v>
      </c>
      <c r="L14" s="39">
        <f>SUMIFS(TB_Calicut[Jan],TB_Calicut[MIS_Group1],$B14)/10^5</f>
        <v>9.2456899999999997</v>
      </c>
      <c r="M14" s="39">
        <f>SUMIFS(TB_Calicut[Feb],TB_Calicut[MIS_Group1],$B14)/10^5</f>
        <v>10.853223900000001</v>
      </c>
      <c r="N14" s="134">
        <f>SUMIFS(TB_Calicut[Mar],TB_Calicut[MIS_Group1],$B14)/10^5</f>
        <v>10.116148600000001</v>
      </c>
      <c r="O14" s="146">
        <f t="shared" ref="O14:O31" si="5">SUM(C14:N14)</f>
        <v>128.5917025</v>
      </c>
      <c r="P14" s="39">
        <v>148.97999999999996</v>
      </c>
      <c r="Q14" s="102"/>
      <c r="R14" s="134">
        <f>SUMIFS(TB_Calicut[Apr_26],TB_Calicut[MIS_Group1],$B14)/10^5</f>
        <v>10.561935500000001</v>
      </c>
      <c r="S14" s="134">
        <f>SUMIFS(TB_Calicut!AB:AB,TB_Calicut!J:J,PL_Calicut!B14)/10^5</f>
        <v>13.344429999999999</v>
      </c>
      <c r="T14" s="134"/>
      <c r="U14" s="149">
        <f t="shared" si="0"/>
        <v>1.2656412842655618E-2</v>
      </c>
      <c r="V14" s="149">
        <f t="shared" si="1"/>
        <v>4.4066859595162544E-2</v>
      </c>
      <c r="W14" s="149" t="str">
        <f t="shared" si="2"/>
        <v>-</v>
      </c>
    </row>
    <row r="15" spans="2:23" x14ac:dyDescent="0.35">
      <c r="B15" s="12" t="s">
        <v>272</v>
      </c>
      <c r="C15" s="118">
        <f>SUMIFS(TB_Calicut[Apr],TB_Calicut[MIS_Group1],$B15)/10^5</f>
        <v>5.2472289336056379</v>
      </c>
      <c r="D15" s="39">
        <f>SUMIFS(TB_Calicut[May],TB_Calicut[MIS_Group1],$B15)/10^5</f>
        <v>5.9149589336056376</v>
      </c>
      <c r="E15" s="39">
        <f>SUMIFS(TB_Calicut[Jun],TB_Calicut[MIS_Group1],$B15)/10^5</f>
        <v>5.8809289336056381</v>
      </c>
      <c r="F15" s="39">
        <f>SUMIFS(TB_Calicut[Jul],TB_Calicut[MIS_Group1],$B15)/10^5</f>
        <v>6.0773489336056379</v>
      </c>
      <c r="G15" s="39">
        <f>SUMIFS(TB_Calicut[Aug],TB_Calicut[MIS_Group1],$B15)/10^5</f>
        <v>6.0624689336056381</v>
      </c>
      <c r="H15" s="39">
        <f>SUMIFS(TB_Calicut[Sep],TB_Calicut[MIS_Group1],$B15)/10^5</f>
        <v>5.9636489336056382</v>
      </c>
      <c r="I15" s="39">
        <f>SUMIFS(TB_Calicut[Oct],TB_Calicut[MIS_Group1],$B15)/10^5</f>
        <v>6.6325889336056383</v>
      </c>
      <c r="J15" s="39">
        <f>SUMIFS(TB_Calicut[Nov],TB_Calicut[MIS_Group1],$B15)/10^5</f>
        <v>6.1059589336056375</v>
      </c>
      <c r="K15" s="39">
        <f>SUMIFS(TB_Calicut[Dec],TB_Calicut[MIS_Group1],$B15)/10^5</f>
        <v>6.3907089336056382</v>
      </c>
      <c r="L15" s="39">
        <f>SUMIFS(TB_Calicut[Jan],TB_Calicut[MIS_Group1],$B15)/10^5</f>
        <v>6.3999489336056374</v>
      </c>
      <c r="M15" s="39">
        <f>SUMIFS(TB_Calicut[Feb],TB_Calicut[MIS_Group1],$B15)/10^5</f>
        <v>6.4000789336056378</v>
      </c>
      <c r="N15" s="134">
        <f>SUMIFS(TB_Calicut[Mar],TB_Calicut[MIS_Group1],$B15)/10^5</f>
        <v>6.3130289336056382</v>
      </c>
      <c r="O15" s="146">
        <f t="shared" si="5"/>
        <v>73.388897203267646</v>
      </c>
      <c r="P15" s="39">
        <v>125.07668420990773</v>
      </c>
      <c r="Q15" s="102"/>
      <c r="R15" s="134">
        <f>SUMIFS(TB_Calicut[Apr_26],TB_Calicut[MIS_Group1],$B15)/10^5</f>
        <v>6.2502889336056375</v>
      </c>
      <c r="S15" s="134">
        <f>SUMIFS(TB_Calicut!AB:AB,TB_Calicut!J:J,PL_Calicut!B15)/10^5</f>
        <v>5.9830989336056382</v>
      </c>
      <c r="T15" s="134"/>
      <c r="U15" s="149">
        <f t="shared" si="0"/>
        <v>0.19115994607667064</v>
      </c>
      <c r="V15" s="149">
        <f t="shared" si="1"/>
        <v>-9.9381771665930652E-3</v>
      </c>
      <c r="W15" s="149" t="str">
        <f t="shared" si="2"/>
        <v>-</v>
      </c>
    </row>
    <row r="16" spans="2:23" x14ac:dyDescent="0.35">
      <c r="B16" s="12" t="s">
        <v>206</v>
      </c>
      <c r="C16" s="118">
        <f>SUMIFS(TB_Calicut[Apr],TB_Calicut[MIS_Group1],$B16)/10^5</f>
        <v>0</v>
      </c>
      <c r="D16" s="39">
        <f>SUMIFS(TB_Calicut[May],TB_Calicut[MIS_Group1],$B16)/10^5</f>
        <v>0</v>
      </c>
      <c r="E16" s="39">
        <f>SUMIFS(TB_Calicut[Jun],TB_Calicut[MIS_Group1],$B16)/10^5</f>
        <v>0</v>
      </c>
      <c r="F16" s="39">
        <f>SUMIFS(TB_Calicut[Jul],TB_Calicut[MIS_Group1],$B16)/10^5</f>
        <v>0</v>
      </c>
      <c r="G16" s="39">
        <f>SUMIFS(TB_Calicut[Aug],TB_Calicut[MIS_Group1],$B16)/10^5</f>
        <v>0</v>
      </c>
      <c r="H16" s="39">
        <f>SUMIFS(TB_Calicut[Sep],TB_Calicut[MIS_Group1],$B16)/10^5</f>
        <v>0</v>
      </c>
      <c r="I16" s="39">
        <f>SUMIFS(TB_Calicut[Oct],TB_Calicut[MIS_Group1],$B16)/10^5</f>
        <v>0</v>
      </c>
      <c r="J16" s="39">
        <f>SUMIFS(TB_Calicut[Nov],TB_Calicut[MIS_Group1],$B16)/10^5</f>
        <v>0</v>
      </c>
      <c r="K16" s="39">
        <f>SUMIFS(TB_Calicut[Dec],TB_Calicut[MIS_Group1],$B16)/10^5</f>
        <v>0</v>
      </c>
      <c r="L16" s="39">
        <f>SUMIFS(TB_Calicut[Jan],TB_Calicut[MIS_Group1],$B16)/10^5</f>
        <v>3.7499999999999999E-2</v>
      </c>
      <c r="M16" s="39">
        <f>SUMIFS(TB_Calicut[Feb],TB_Calicut[MIS_Group1],$B16)/10^5</f>
        <v>0</v>
      </c>
      <c r="N16" s="134">
        <f>SUMIFS(TB_Calicut[Mar],TB_Calicut[MIS_Group1],$B16)/10^5</f>
        <v>0</v>
      </c>
      <c r="O16" s="146">
        <f>SUM(C16:N16)</f>
        <v>3.7499999999999999E-2</v>
      </c>
      <c r="P16" s="39">
        <v>0</v>
      </c>
      <c r="Q16" s="102"/>
      <c r="R16" s="134">
        <f>SUMIFS(TB_Calicut[Apr_26],TB_Calicut[MIS_Group1],$B16)/10^5</f>
        <v>1.4999999999999999E-2</v>
      </c>
      <c r="S16" s="134">
        <f>SUMIFS(TB_Calicut!AB:AB,TB_Calicut!J:J,PL_Calicut!B16)/10^5</f>
        <v>0</v>
      </c>
      <c r="T16" s="134"/>
      <c r="U16" s="149" t="str">
        <f t="shared" si="0"/>
        <v>-</v>
      </c>
      <c r="V16" s="149" t="str">
        <f t="shared" si="1"/>
        <v>-</v>
      </c>
      <c r="W16" s="149" t="str">
        <f t="shared" si="2"/>
        <v>-</v>
      </c>
    </row>
    <row r="17" spans="2:23" x14ac:dyDescent="0.35">
      <c r="B17" s="12" t="s">
        <v>278</v>
      </c>
      <c r="C17" s="118">
        <f>SUMIFS(TB_Calicut[Apr],TB_Calicut[MIS_Group1],$B17)/10^5</f>
        <v>1.5581202999999999</v>
      </c>
      <c r="D17" s="39">
        <f>SUMIFS(TB_Calicut[May],TB_Calicut[MIS_Group1],$B17)/10^5</f>
        <v>1.6075299999999999</v>
      </c>
      <c r="E17" s="39">
        <f>SUMIFS(TB_Calicut[Jun],TB_Calicut[MIS_Group1],$B17)/10^5</f>
        <v>1.2912085</v>
      </c>
      <c r="F17" s="39">
        <f>SUMIFS(TB_Calicut[Jul],TB_Calicut[MIS_Group1],$B17)/10^5</f>
        <v>1.5235399999999999</v>
      </c>
      <c r="G17" s="39">
        <f>SUMIFS(TB_Calicut[Aug],TB_Calicut[MIS_Group1],$B17)/10^5</f>
        <v>1.4025700000000001</v>
      </c>
      <c r="H17" s="39">
        <f>SUMIFS(TB_Calicut[Sep],TB_Calicut[MIS_Group1],$B17)/10^5</f>
        <v>1.4303999999999999</v>
      </c>
      <c r="I17" s="39">
        <f>SUMIFS(TB_Calicut[Oct],TB_Calicut[MIS_Group1],$B17)/10^5</f>
        <v>1.53711</v>
      </c>
      <c r="J17" s="39">
        <f>SUMIFS(TB_Calicut[Nov],TB_Calicut[MIS_Group1],$B17)/10^5</f>
        <v>1.5252158000000002</v>
      </c>
      <c r="K17" s="39">
        <f>SUMIFS(TB_Calicut[Dec],TB_Calicut[MIS_Group1],$B17)/10^5</f>
        <v>1.3682462</v>
      </c>
      <c r="L17" s="39">
        <f>SUMIFS(TB_Calicut[Jan],TB_Calicut[MIS_Group1],$B17)/10^5</f>
        <v>1.4055800000000001</v>
      </c>
      <c r="M17" s="39">
        <f>SUMIFS(TB_Calicut[Feb],TB_Calicut[MIS_Group1],$B17)/10^5</f>
        <v>1.3691599999999999</v>
      </c>
      <c r="N17" s="134">
        <f>SUMIFS(TB_Calicut[Mar],TB_Calicut[MIS_Group1],$B17)/10^5</f>
        <v>1.39039</v>
      </c>
      <c r="O17" s="146">
        <f t="shared" si="5"/>
        <v>17.409070799999999</v>
      </c>
      <c r="P17" s="39">
        <v>17.607412739030561</v>
      </c>
      <c r="Q17" s="102"/>
      <c r="R17" s="134">
        <f>SUMIFS(TB_Calicut[Apr_26],TB_Calicut[MIS_Group1],$B17)/10^5</f>
        <v>1.5981004999999999</v>
      </c>
      <c r="S17" s="134">
        <f>SUMIFS(TB_Calicut!AB:AB,TB_Calicut!J:J,PL_Calicut!B17)/10^5</f>
        <v>1.6296299999999999</v>
      </c>
      <c r="T17" s="134"/>
      <c r="U17" s="149">
        <f t="shared" si="0"/>
        <v>2.5659251086068258E-2</v>
      </c>
      <c r="V17" s="149">
        <f t="shared" si="1"/>
        <v>0.14939009918080526</v>
      </c>
      <c r="W17" s="149" t="str">
        <f t="shared" si="2"/>
        <v>-</v>
      </c>
    </row>
    <row r="18" spans="2:23" x14ac:dyDescent="0.35">
      <c r="B18" s="12" t="s">
        <v>288</v>
      </c>
      <c r="C18" s="118">
        <f>SUMIFS(TB_Calicut[Apr],TB_Calicut[MIS_Group1],$B18)/10^5</f>
        <v>9.2706700000000009</v>
      </c>
      <c r="D18" s="39">
        <f>SUMIFS(TB_Calicut[May],TB_Calicut[MIS_Group1],$B18)/10^5</f>
        <v>9.2706700000000009</v>
      </c>
      <c r="E18" s="39">
        <f>SUMIFS(TB_Calicut[Jun],TB_Calicut[MIS_Group1],$B18)/10^5</f>
        <v>9.2706700000000009</v>
      </c>
      <c r="F18" s="39">
        <f>SUMIFS(TB_Calicut[Jul],TB_Calicut[MIS_Group1],$B18)/10^5</f>
        <v>9.2746700000000004</v>
      </c>
      <c r="G18" s="39">
        <f>SUMIFS(TB_Calicut[Aug],TB_Calicut[MIS_Group1],$B18)/10^5</f>
        <v>9.3178699999999992</v>
      </c>
      <c r="H18" s="39">
        <f>SUMIFS(TB_Calicut[Sep],TB_Calicut[MIS_Group1],$B18)/10^5</f>
        <v>9.3178699999999992</v>
      </c>
      <c r="I18" s="39">
        <f>SUMIFS(TB_Calicut[Oct],TB_Calicut[MIS_Group1],$B18)/10^5</f>
        <v>10.0028954</v>
      </c>
      <c r="J18" s="39">
        <f>SUMIFS(TB_Calicut[Nov],TB_Calicut[MIS_Group1],$B18)/10^5</f>
        <v>10.602276400000001</v>
      </c>
      <c r="K18" s="39">
        <f>SUMIFS(TB_Calicut[Dec],TB_Calicut[MIS_Group1],$B18)/10^5</f>
        <v>10.632276400000002</v>
      </c>
      <c r="L18" s="39">
        <f>SUMIFS(TB_Calicut[Jan],TB_Calicut[MIS_Group1],$B18)/10^5</f>
        <v>10.602276400000001</v>
      </c>
      <c r="M18" s="39">
        <f>SUMIFS(TB_Calicut[Feb],TB_Calicut[MIS_Group1],$B18)/10^5</f>
        <v>10.602276400000001</v>
      </c>
      <c r="N18" s="134">
        <f>SUMIFS(TB_Calicut[Mar],TB_Calicut[MIS_Group1],$B18)/10^5</f>
        <v>10.657476400000002</v>
      </c>
      <c r="O18" s="146">
        <f t="shared" si="5"/>
        <v>118.82189739999998</v>
      </c>
      <c r="P18" s="39">
        <v>111.24803999999999</v>
      </c>
      <c r="Q18" s="102"/>
      <c r="R18" s="134">
        <f>SUMIFS(TB_Calicut[Apr_26],TB_Calicut[MIS_Group1],$B18)/10^5</f>
        <v>10.602276400000001</v>
      </c>
      <c r="S18" s="134">
        <f>SUMIFS(TB_Calicut!AB:AB,TB_Calicut!J:J,PL_Calicut!B18)/10^5</f>
        <v>10.559076400000002</v>
      </c>
      <c r="T18" s="134"/>
      <c r="U18" s="149">
        <f t="shared" si="0"/>
        <v>0.14363647934831025</v>
      </c>
      <c r="V18" s="149">
        <f t="shared" si="1"/>
        <v>-5.1794625601986333E-3</v>
      </c>
      <c r="W18" s="149" t="str">
        <f t="shared" si="2"/>
        <v>-</v>
      </c>
    </row>
    <row r="19" spans="2:23" x14ac:dyDescent="0.35">
      <c r="B19" s="12" t="s">
        <v>289</v>
      </c>
      <c r="C19" s="118">
        <f>SUMIFS(TB_Calicut[Apr],TB_Calicut[MIS_Group1],$B19)/10^5</f>
        <v>0</v>
      </c>
      <c r="D19" s="39">
        <f>SUMIFS(TB_Calicut[May],TB_Calicut[MIS_Group1],$B19)/10^5</f>
        <v>0.10705000000000001</v>
      </c>
      <c r="E19" s="39">
        <f>SUMIFS(TB_Calicut[Jun],TB_Calicut[MIS_Group1],$B19)/10^5</f>
        <v>1.2746649999999999</v>
      </c>
      <c r="F19" s="39">
        <f>SUMIFS(TB_Calicut[Jul],TB_Calicut[MIS_Group1],$B19)/10^5</f>
        <v>0.98441000000000001</v>
      </c>
      <c r="G19" s="39">
        <f>SUMIFS(TB_Calicut[Aug],TB_Calicut[MIS_Group1],$B19)/10^5</f>
        <v>0.13779</v>
      </c>
      <c r="H19" s="39">
        <f>SUMIFS(TB_Calicut[Sep],TB_Calicut[MIS_Group1],$B19)/10^5</f>
        <v>0.31773000000000001</v>
      </c>
      <c r="I19" s="39">
        <f>SUMIFS(TB_Calicut[Oct],TB_Calicut[MIS_Group1],$B19)/10^5</f>
        <v>0.34089000000000003</v>
      </c>
      <c r="J19" s="39">
        <f>SUMIFS(TB_Calicut[Nov],TB_Calicut[MIS_Group1],$B19)/10^5</f>
        <v>1.4202132999999999</v>
      </c>
      <c r="K19" s="39">
        <f>SUMIFS(TB_Calicut[Dec],TB_Calicut[MIS_Group1],$B19)/10^5</f>
        <v>0.29583999999999999</v>
      </c>
      <c r="L19" s="39">
        <f>SUMIFS(TB_Calicut[Jan],TB_Calicut[MIS_Group1],$B19)/10^5</f>
        <v>0.95653480000000013</v>
      </c>
      <c r="M19" s="39">
        <f>SUMIFS(TB_Calicut[Feb],TB_Calicut[MIS_Group1],$B19)/10^5</f>
        <v>0.59669079999999997</v>
      </c>
      <c r="N19" s="134">
        <f>SUMIFS(TB_Calicut[Mar],TB_Calicut[MIS_Group1],$B19)/10^5</f>
        <v>3.5600087999999999</v>
      </c>
      <c r="O19" s="146">
        <f t="shared" si="5"/>
        <v>9.9918227000000002</v>
      </c>
      <c r="P19" s="39">
        <v>13.671563977999467</v>
      </c>
      <c r="Q19" s="102"/>
      <c r="R19" s="134">
        <f>SUMIFS(TB_Calicut[Apr_26],TB_Calicut[MIS_Group1],$B19)/10^5</f>
        <v>3.1193830999999999</v>
      </c>
      <c r="S19" s="134">
        <f>SUMIFS(TB_Calicut!AB:AB,TB_Calicut!J:J,PL_Calicut!B19)/10^5</f>
        <v>0.6506866</v>
      </c>
      <c r="T19" s="134"/>
      <c r="U19" s="149" t="str">
        <f t="shared" si="0"/>
        <v>-</v>
      </c>
      <c r="V19" s="149">
        <f t="shared" si="1"/>
        <v>-0.12377095809426086</v>
      </c>
      <c r="W19" s="149" t="str">
        <f t="shared" si="2"/>
        <v>-</v>
      </c>
    </row>
    <row r="20" spans="2:23" x14ac:dyDescent="0.35">
      <c r="B20" s="12" t="s">
        <v>534</v>
      </c>
      <c r="C20" s="118">
        <f>SUMIFS(TB_Calicut[Apr],TB_Calicut[MIS_Group1],$B20)/10^5</f>
        <v>0.89366000000000001</v>
      </c>
      <c r="D20" s="39">
        <f>SUMIFS(TB_Calicut[May],TB_Calicut[MIS_Group1],$B20)/10^5</f>
        <v>0.98821999999999999</v>
      </c>
      <c r="E20" s="39">
        <f>SUMIFS(TB_Calicut[Jun],TB_Calicut[MIS_Group1],$B20)/10^5</f>
        <v>0.86073999999999995</v>
      </c>
      <c r="F20" s="39">
        <f>SUMIFS(TB_Calicut[Jul],TB_Calicut[MIS_Group1],$B20)/10^5</f>
        <v>1.1516999999999999</v>
      </c>
      <c r="G20" s="39">
        <f>SUMIFS(TB_Calicut[Aug],TB_Calicut[MIS_Group1],$B20)/10^5</f>
        <v>1.1262724</v>
      </c>
      <c r="H20" s="39">
        <f>SUMIFS(TB_Calicut[Sep],TB_Calicut[MIS_Group1],$B20)/10^5</f>
        <v>0.99083600000000005</v>
      </c>
      <c r="I20" s="39">
        <f>SUMIFS(TB_Calicut[Oct],TB_Calicut[MIS_Group1],$B20)/10^5</f>
        <v>1.017736</v>
      </c>
      <c r="J20" s="39">
        <f>SUMIFS(TB_Calicut[Nov],TB_Calicut[MIS_Group1],$B20)/10^5</f>
        <v>0.99384600000000001</v>
      </c>
      <c r="K20" s="39">
        <f>SUMIFS(TB_Calicut[Dec],TB_Calicut[MIS_Group1],$B20)/10^5</f>
        <v>0.98709600000000008</v>
      </c>
      <c r="L20" s="39">
        <f>SUMIFS(TB_Calicut[Jan],TB_Calicut[MIS_Group1],$B20)/10^5</f>
        <v>1.4985599999999999</v>
      </c>
      <c r="M20" s="39">
        <f>SUMIFS(TB_Calicut[Feb],TB_Calicut[MIS_Group1],$B20)/10^5</f>
        <v>1.09579</v>
      </c>
      <c r="N20" s="134">
        <f>SUMIFS(TB_Calicut[Mar],TB_Calicut[MIS_Group1],$B20)/10^5</f>
        <v>1.7029910000000001</v>
      </c>
      <c r="O20" s="146">
        <f>SUM(C20:N20)</f>
        <v>13.307447400000001</v>
      </c>
      <c r="P20" s="39">
        <v>13.766746882228368</v>
      </c>
      <c r="Q20" s="102"/>
      <c r="R20" s="134">
        <f>SUMIFS(TB_Calicut[Apr_26],TB_Calicut[MIS_Group1],$B20)/10^5</f>
        <v>0.79213999999999996</v>
      </c>
      <c r="S20" s="134">
        <f>SUMIFS(TB_Calicut!AB:AB,TB_Calicut!J:J,PL_Calicut!B20)/10^5</f>
        <v>0.99505999999999994</v>
      </c>
      <c r="T20" s="134"/>
      <c r="U20" s="149">
        <f t="shared" si="0"/>
        <v>-0.11360025065461143</v>
      </c>
      <c r="V20" s="149">
        <f t="shared" si="1"/>
        <v>-0.53485367802883288</v>
      </c>
      <c r="W20" s="149" t="str">
        <f t="shared" si="2"/>
        <v>-</v>
      </c>
    </row>
    <row r="21" spans="2:23" x14ac:dyDescent="0.35">
      <c r="B21" s="12" t="s">
        <v>535</v>
      </c>
      <c r="C21" s="118">
        <f>SUMIFS(TB_Calicut[Apr],TB_Calicut[MIS_Group1],$B21)/10^5</f>
        <v>0.36255999999999999</v>
      </c>
      <c r="D21" s="39">
        <f>SUMIFS(TB_Calicut[May],TB_Calicut[MIS_Group1],$B21)/10^5</f>
        <v>0.36255999999999999</v>
      </c>
      <c r="E21" s="39">
        <f>SUMIFS(TB_Calicut[Jun],TB_Calicut[MIS_Group1],$B21)/10^5</f>
        <v>0.36255999999999999</v>
      </c>
      <c r="F21" s="39">
        <f>SUMIFS(TB_Calicut[Jul],TB_Calicut[MIS_Group1],$B21)/10^5</f>
        <v>0.36255999999999999</v>
      </c>
      <c r="G21" s="39">
        <f>SUMIFS(TB_Calicut[Aug],TB_Calicut[MIS_Group1],$B21)/10^5</f>
        <v>0.20466999999999999</v>
      </c>
      <c r="H21" s="39">
        <f>SUMIFS(TB_Calicut[Sep],TB_Calicut[MIS_Group1],$B21)/10^5</f>
        <v>0.362562</v>
      </c>
      <c r="I21" s="39">
        <f>SUMIFS(TB_Calicut[Oct],TB_Calicut[MIS_Group1],$B21)/10^5</f>
        <v>0.362562</v>
      </c>
      <c r="J21" s="39">
        <f>SUMIFS(TB_Calicut[Nov],TB_Calicut[MIS_Group1],$B21)/10^5</f>
        <v>0.362562</v>
      </c>
      <c r="K21" s="39">
        <f>SUMIFS(TB_Calicut[Dec],TB_Calicut[MIS_Group1],$B21)/10^5</f>
        <v>0.36255999999999999</v>
      </c>
      <c r="L21" s="39">
        <f>SUMIFS(TB_Calicut[Jan],TB_Calicut[MIS_Group1],$B21)/10^5</f>
        <v>0.36255999999999999</v>
      </c>
      <c r="M21" s="39">
        <f>SUMIFS(TB_Calicut[Feb],TB_Calicut[MIS_Group1],$B21)/10^5</f>
        <v>0.36255999999999999</v>
      </c>
      <c r="N21" s="134">
        <f>SUMIFS(TB_Calicut[Mar],TB_Calicut[MIS_Group1],$B21)/10^5</f>
        <v>0.66044100000000006</v>
      </c>
      <c r="O21" s="146">
        <f>SUM(C21:N21)</f>
        <v>4.4907170000000001</v>
      </c>
      <c r="P21" s="39">
        <v>6.7887355079712712</v>
      </c>
      <c r="Q21" s="102"/>
      <c r="R21" s="134">
        <f>SUMIFS(TB_Calicut[Apr_26],TB_Calicut[MIS_Group1],$B21)/10^5</f>
        <v>0.61204000000000003</v>
      </c>
      <c r="S21" s="134">
        <f>SUMIFS(TB_Calicut!AB:AB,TB_Calicut!J:J,PL_Calicut!B21)/10^5</f>
        <v>0.36255999999999999</v>
      </c>
      <c r="T21" s="134"/>
      <c r="U21" s="149">
        <f t="shared" si="0"/>
        <v>0.68810679611650505</v>
      </c>
      <c r="V21" s="149">
        <f t="shared" si="1"/>
        <v>-7.3285880192174635E-2</v>
      </c>
      <c r="W21" s="149" t="str">
        <f t="shared" si="2"/>
        <v>-</v>
      </c>
    </row>
    <row r="22" spans="2:23" x14ac:dyDescent="0.35">
      <c r="B22" s="12" t="s">
        <v>310</v>
      </c>
      <c r="C22" s="118">
        <f>SUMIFS(TB_Calicut[Apr],TB_Calicut[MIS_Group1],$B22)/10^5</f>
        <v>0</v>
      </c>
      <c r="D22" s="39">
        <f>SUMIFS(TB_Calicut[May],TB_Calicut[MIS_Group1],$B22)/10^5</f>
        <v>9.5329999999999998E-2</v>
      </c>
      <c r="E22" s="39">
        <f>SUMIFS(TB_Calicut[Jun],TB_Calicut[MIS_Group1],$B22)/10^5</f>
        <v>4.3499999999999997E-2</v>
      </c>
      <c r="F22" s="39">
        <f>SUMIFS(TB_Calicut[Jul],TB_Calicut[MIS_Group1],$B22)/10^5</f>
        <v>0.25163000000000002</v>
      </c>
      <c r="G22" s="39">
        <f>SUMIFS(TB_Calicut[Aug],TB_Calicut[MIS_Group1],$B22)/10^5</f>
        <v>0.12300999999999999</v>
      </c>
      <c r="H22" s="39">
        <f>SUMIFS(TB_Calicut[Sep],TB_Calicut[MIS_Group1],$B22)/10^5</f>
        <v>0</v>
      </c>
      <c r="I22" s="39">
        <f>SUMIFS(TB_Calicut[Oct],TB_Calicut[MIS_Group1],$B22)/10^5</f>
        <v>0.44728000000000001</v>
      </c>
      <c r="J22" s="39">
        <f>SUMIFS(TB_Calicut[Nov],TB_Calicut[MIS_Group1],$B22)/10^5</f>
        <v>6.3740000000000005E-2</v>
      </c>
      <c r="K22" s="39">
        <f>SUMIFS(TB_Calicut[Dec],TB_Calicut[MIS_Group1],$B22)/10^5</f>
        <v>7.3690000000000005E-2</v>
      </c>
      <c r="L22" s="39">
        <f>SUMIFS(TB_Calicut[Jan],TB_Calicut[MIS_Group1],$B22)/10^5</f>
        <v>0.20560999999999999</v>
      </c>
      <c r="M22" s="39">
        <f>SUMIFS(TB_Calicut[Feb],TB_Calicut[MIS_Group1],$B22)/10^5</f>
        <v>0.57473649999999998</v>
      </c>
      <c r="N22" s="134">
        <f>SUMIFS(TB_Calicut[Mar],TB_Calicut[MIS_Group1],$B22)/10^5</f>
        <v>8.4599999999999995E-2</v>
      </c>
      <c r="O22" s="146">
        <f>SUM(C22:N22)</f>
        <v>1.9631265</v>
      </c>
      <c r="P22" s="39">
        <v>3.311411063959449</v>
      </c>
      <c r="Q22" s="102"/>
      <c r="R22" s="134">
        <f>SUMIFS(TB_Calicut[Apr_26],TB_Calicut[MIS_Group1],$B22)/10^5</f>
        <v>0</v>
      </c>
      <c r="S22" s="134">
        <f>SUMIFS(TB_Calicut!AB:AB,TB_Calicut!J:J,PL_Calicut!B22)/10^5</f>
        <v>6.3299999999999995E-2</v>
      </c>
      <c r="T22" s="134"/>
      <c r="U22" s="149" t="str">
        <f t="shared" si="0"/>
        <v>-</v>
      </c>
      <c r="V22" s="149">
        <f t="shared" si="1"/>
        <v>-1</v>
      </c>
      <c r="W22" s="149" t="str">
        <f t="shared" si="2"/>
        <v>-</v>
      </c>
    </row>
    <row r="23" spans="2:23" x14ac:dyDescent="0.35">
      <c r="B23" s="12" t="s">
        <v>207</v>
      </c>
      <c r="C23" s="118">
        <f>SUMIFS(TB_Calicut[Apr],TB_Calicut[MIS_Group1],$B23)/10^5</f>
        <v>0.14727000000000001</v>
      </c>
      <c r="D23" s="39">
        <f>SUMIFS(TB_Calicut[May],TB_Calicut[MIS_Group1],$B23)/10^5</f>
        <v>0</v>
      </c>
      <c r="E23" s="39">
        <f>SUMIFS(TB_Calicut[Jun],TB_Calicut[MIS_Group1],$B23)/10^5</f>
        <v>0.15669</v>
      </c>
      <c r="F23" s="39">
        <f>SUMIFS(TB_Calicut[Jul],TB_Calicut[MIS_Group1],$B23)/10^5</f>
        <v>0</v>
      </c>
      <c r="G23" s="39">
        <f>SUMIFS(TB_Calicut[Aug],TB_Calicut[MIS_Group1],$B23)/10^5</f>
        <v>0</v>
      </c>
      <c r="H23" s="39">
        <f>SUMIFS(TB_Calicut[Sep],TB_Calicut[MIS_Group1],$B23)/10^5</f>
        <v>0.77470000000000006</v>
      </c>
      <c r="I23" s="39">
        <f>SUMIFS(TB_Calicut[Oct],TB_Calicut[MIS_Group1],$B23)/10^5</f>
        <v>2.0193300000000001E-2</v>
      </c>
      <c r="J23" s="39">
        <f>SUMIFS(TB_Calicut[Nov],TB_Calicut[MIS_Group1],$B23)/10^5</f>
        <v>2.9499999999999998E-2</v>
      </c>
      <c r="K23" s="39">
        <f>SUMIFS(TB_Calicut[Dec],TB_Calicut[MIS_Group1],$B23)/10^5</f>
        <v>2.0193300000000001E-2</v>
      </c>
      <c r="L23" s="39">
        <f>SUMIFS(TB_Calicut[Jan],TB_Calicut[MIS_Group1],$B23)/10^5</f>
        <v>-0.39637669999999997</v>
      </c>
      <c r="M23" s="39">
        <f>SUMIFS(TB_Calicut[Feb],TB_Calicut[MIS_Group1],$B23)/10^5</f>
        <v>7.9783300000000001E-2</v>
      </c>
      <c r="N23" s="134">
        <f>SUMIFS(TB_Calicut[Mar],TB_Calicut[MIS_Group1],$B23)/10^5</f>
        <v>8.2223299999999999E-2</v>
      </c>
      <c r="O23" s="146">
        <f t="shared" si="5"/>
        <v>0.91417650000000039</v>
      </c>
      <c r="P23" s="39">
        <v>0.78596385216816822</v>
      </c>
      <c r="Q23" s="102"/>
      <c r="R23" s="134">
        <f>SUMIFS(TB_Calicut[Apr_26],TB_Calicut[MIS_Group1],$B23)/10^5</f>
        <v>7.4510000000000007E-2</v>
      </c>
      <c r="S23" s="134">
        <f>SUMIFS(TB_Calicut!AB:AB,TB_Calicut!J:J,PL_Calicut!B23)/10^5</f>
        <v>7.5120000000000006E-2</v>
      </c>
      <c r="T23" s="134"/>
      <c r="U23" s="149">
        <f t="shared" si="0"/>
        <v>-0.49405853194812244</v>
      </c>
      <c r="V23" s="149">
        <f t="shared" si="1"/>
        <v>-9.3809175744588136E-2</v>
      </c>
      <c r="W23" s="149" t="str">
        <f t="shared" si="2"/>
        <v>-</v>
      </c>
    </row>
    <row r="24" spans="2:23" x14ac:dyDescent="0.35">
      <c r="B24" s="12" t="s">
        <v>301</v>
      </c>
      <c r="C24" s="118">
        <f>SUMIFS(TB_Calicut[Apr],TB_Calicut[MIS_Group1],$B24)/10^5</f>
        <v>6.4799999999999996E-2</v>
      </c>
      <c r="D24" s="39">
        <f>SUMIFS(TB_Calicut[May],TB_Calicut[MIS_Group1],$B24)/10^5</f>
        <v>3.2299999999999998E-3</v>
      </c>
      <c r="E24" s="39">
        <f>SUMIFS(TB_Calicut[Jun],TB_Calicut[MIS_Group1],$B24)/10^5</f>
        <v>5.92875E-2</v>
      </c>
      <c r="F24" s="39">
        <f>SUMIFS(TB_Calicut[Jul],TB_Calicut[MIS_Group1],$B24)/10^5</f>
        <v>2.3000000000000001E-4</v>
      </c>
      <c r="G24" s="39">
        <f>SUMIFS(TB_Calicut[Aug],TB_Calicut[MIS_Group1],$B24)/10^5</f>
        <v>2E-3</v>
      </c>
      <c r="H24" s="39">
        <f>SUMIFS(TB_Calicut[Sep],TB_Calicut[MIS_Group1],$B24)/10^5</f>
        <v>5.92875E-2</v>
      </c>
      <c r="I24" s="39">
        <f>SUMIFS(TB_Calicut[Oct],TB_Calicut[MIS_Group1],$B24)/10^5</f>
        <v>1.9762499999999999E-2</v>
      </c>
      <c r="J24" s="39">
        <f>SUMIFS(TB_Calicut[Nov],TB_Calicut[MIS_Group1],$B24)/10^5</f>
        <v>1.9762499999999999E-2</v>
      </c>
      <c r="K24" s="39">
        <f>SUMIFS(TB_Calicut[Dec],TB_Calicut[MIS_Group1],$B24)/10^5</f>
        <v>1.9762499999999999E-2</v>
      </c>
      <c r="L24" s="39">
        <f>SUMIFS(TB_Calicut[Jan],TB_Calicut[MIS_Group1],$B24)/10^5</f>
        <v>2.07625E-2</v>
      </c>
      <c r="M24" s="39">
        <f>SUMIFS(TB_Calicut[Feb],TB_Calicut[MIS_Group1],$B24)/10^5</f>
        <v>1.9762499999999999E-2</v>
      </c>
      <c r="N24" s="134">
        <f>SUMIFS(TB_Calicut[Mar],TB_Calicut[MIS_Group1],$B24)/10^5</f>
        <v>7.7262499999999998E-2</v>
      </c>
      <c r="O24" s="146">
        <f t="shared" si="5"/>
        <v>0.36591000000000001</v>
      </c>
      <c r="P24" s="39">
        <v>0.45477400533828793</v>
      </c>
      <c r="Q24" s="102"/>
      <c r="R24" s="134">
        <f>SUMIFS(TB_Calicut[Apr_26],TB_Calicut[MIS_Group1],$B24)/10^5</f>
        <v>0.24476249999999999</v>
      </c>
      <c r="S24" s="134">
        <f>SUMIFS(TB_Calicut!AB:AB,TB_Calicut!J:J,PL_Calicut!B24)/10^5</f>
        <v>2.7762499999999999E-2</v>
      </c>
      <c r="T24" s="134"/>
      <c r="U24" s="149">
        <f t="shared" si="0"/>
        <v>2.7771990740740744</v>
      </c>
      <c r="V24" s="149">
        <f t="shared" si="1"/>
        <v>2.1679339912635496</v>
      </c>
      <c r="W24" s="149" t="str">
        <f t="shared" si="2"/>
        <v>-</v>
      </c>
    </row>
    <row r="25" spans="2:23" x14ac:dyDescent="0.35">
      <c r="B25" s="12" t="s">
        <v>302</v>
      </c>
      <c r="C25" s="118">
        <f>SUMIFS(TB_Calicut[Apr],TB_Calicut[MIS_Group1],$B25)/10^5</f>
        <v>0</v>
      </c>
      <c r="D25" s="39">
        <f>SUMIFS(TB_Calicut[May],TB_Calicut[MIS_Group1],$B25)/10^5</f>
        <v>0</v>
      </c>
      <c r="E25" s="39">
        <f>SUMIFS(TB_Calicut[Jun],TB_Calicut[MIS_Group1],$B25)/10^5</f>
        <v>0</v>
      </c>
      <c r="F25" s="39">
        <f>SUMIFS(TB_Calicut[Jul],TB_Calicut[MIS_Group1],$B25)/10^5</f>
        <v>0</v>
      </c>
      <c r="G25" s="39">
        <f>SUMIFS(TB_Calicut[Aug],TB_Calicut[MIS_Group1],$B25)/10^5</f>
        <v>2.4500000000000001E-2</v>
      </c>
      <c r="H25" s="39">
        <f>SUMIFS(TB_Calicut[Sep],TB_Calicut[MIS_Group1],$B25)/10^5</f>
        <v>0</v>
      </c>
      <c r="I25" s="39">
        <f>SUMIFS(TB_Calicut[Oct],TB_Calicut[MIS_Group1],$B25)/10^5</f>
        <v>0.2</v>
      </c>
      <c r="J25" s="39">
        <f>SUMIFS(TB_Calicut[Nov],TB_Calicut[MIS_Group1],$B25)/10^5</f>
        <v>0.2465</v>
      </c>
      <c r="K25" s="39">
        <f>SUMIFS(TB_Calicut[Dec],TB_Calicut[MIS_Group1],$B25)/10^5</f>
        <v>0</v>
      </c>
      <c r="L25" s="39">
        <f>SUMIFS(TB_Calicut[Jan],TB_Calicut[MIS_Group1],$B25)/10^5</f>
        <v>4.8000000000000001E-2</v>
      </c>
      <c r="M25" s="39">
        <f>SUMIFS(TB_Calicut[Feb],TB_Calicut[MIS_Group1],$B25)/10^5</f>
        <v>0.4</v>
      </c>
      <c r="N25" s="134">
        <f>SUMIFS(TB_Calicut[Mar],TB_Calicut[MIS_Group1],$B25)/10^5</f>
        <v>0</v>
      </c>
      <c r="O25" s="146">
        <f t="shared" si="5"/>
        <v>0.91900000000000004</v>
      </c>
      <c r="P25" s="39">
        <v>7.7505562998136099</v>
      </c>
      <c r="Q25" s="102"/>
      <c r="R25" s="134">
        <f>SUMIFS(TB_Calicut[Apr_26],TB_Calicut[MIS_Group1],$B25)/10^5</f>
        <v>0.2</v>
      </c>
      <c r="S25" s="134">
        <f>SUMIFS(TB_Calicut!AB:AB,TB_Calicut!J:J,PL_Calicut!B25)/10^5</f>
        <v>0</v>
      </c>
      <c r="T25" s="134"/>
      <c r="U25" s="149" t="str">
        <f t="shared" si="0"/>
        <v>-</v>
      </c>
      <c r="V25" s="149" t="str">
        <f t="shared" si="1"/>
        <v>-</v>
      </c>
      <c r="W25" s="149" t="str">
        <f t="shared" si="2"/>
        <v>-</v>
      </c>
    </row>
    <row r="26" spans="2:23" x14ac:dyDescent="0.35">
      <c r="B26" s="12" t="s">
        <v>307</v>
      </c>
      <c r="C26" s="118">
        <f>SUMIFS(TB_Calicut[Apr],TB_Calicut[MIS_Group1],$B26)/10^5</f>
        <v>0</v>
      </c>
      <c r="D26" s="39">
        <f>SUMIFS(TB_Calicut[May],TB_Calicut[MIS_Group1],$B26)/10^5</f>
        <v>0</v>
      </c>
      <c r="E26" s="39">
        <f>SUMIFS(TB_Calicut[Jun],TB_Calicut[MIS_Group1],$B26)/10^5</f>
        <v>0</v>
      </c>
      <c r="F26" s="39">
        <f>SUMIFS(TB_Calicut[Jul],TB_Calicut[MIS_Group1],$B26)/10^5</f>
        <v>0</v>
      </c>
      <c r="G26" s="39">
        <f>SUMIFS(TB_Calicut[Aug],TB_Calicut[MIS_Group1],$B26)/10^5</f>
        <v>0</v>
      </c>
      <c r="H26" s="39">
        <f>SUMIFS(TB_Calicut[Sep],TB_Calicut[MIS_Group1],$B26)/10^5</f>
        <v>0</v>
      </c>
      <c r="I26" s="39">
        <f>SUMIFS(TB_Calicut[Oct],TB_Calicut[MIS_Group1],$B26)/10^5</f>
        <v>0</v>
      </c>
      <c r="J26" s="39">
        <f>SUMIFS(TB_Calicut[Nov],TB_Calicut[MIS_Group1],$B26)/10^5</f>
        <v>0</v>
      </c>
      <c r="K26" s="39">
        <f>SUMIFS(TB_Calicut[Dec],TB_Calicut[MIS_Group1],$B26)/10^5</f>
        <v>0</v>
      </c>
      <c r="L26" s="39">
        <f>SUMIFS(TB_Calicut[Jan],TB_Calicut[MIS_Group1],$B26)/10^5</f>
        <v>0</v>
      </c>
      <c r="M26" s="39">
        <f>SUMIFS(TB_Calicut[Feb],TB_Calicut[MIS_Group1],$B26)/10^5</f>
        <v>0</v>
      </c>
      <c r="N26" s="134">
        <f>SUMIFS(TB_Calicut[Mar],TB_Calicut[MIS_Group1],$B26)/10^5</f>
        <v>0</v>
      </c>
      <c r="O26" s="146">
        <f t="shared" si="5"/>
        <v>0</v>
      </c>
      <c r="P26" s="39"/>
      <c r="Q26" s="102"/>
      <c r="R26" s="134">
        <f>SUMIFS(TB_Calicut[Apr_26],TB_Calicut[MIS_Group1],$B26)/10^5</f>
        <v>0</v>
      </c>
      <c r="S26" s="134">
        <f>SUMIFS(TB_Calicut!AB:AB,TB_Calicut!J:J,PL_Calicut!B26)/10^5</f>
        <v>0</v>
      </c>
      <c r="T26" s="134"/>
      <c r="U26" s="149" t="str">
        <f t="shared" si="0"/>
        <v>-</v>
      </c>
      <c r="V26" s="149" t="str">
        <f t="shared" si="1"/>
        <v>-</v>
      </c>
      <c r="W26" s="149" t="str">
        <f t="shared" si="2"/>
        <v>-</v>
      </c>
    </row>
    <row r="27" spans="2:23" x14ac:dyDescent="0.35">
      <c r="B27" s="12" t="s">
        <v>308</v>
      </c>
      <c r="C27" s="118">
        <f>SUMIFS(TB_Calicut[Apr],TB_Calicut[MIS_Group1],$B27)/10^5</f>
        <v>0</v>
      </c>
      <c r="D27" s="39">
        <f>SUMIFS(TB_Calicut[May],TB_Calicut[MIS_Group1],$B27)/10^5</f>
        <v>0</v>
      </c>
      <c r="E27" s="39">
        <f>SUMIFS(TB_Calicut[Jun],TB_Calicut[MIS_Group1],$B27)/10^5</f>
        <v>0</v>
      </c>
      <c r="F27" s="39">
        <f>SUMIFS(TB_Calicut[Jul],TB_Calicut[MIS_Group1],$B27)/10^5</f>
        <v>0</v>
      </c>
      <c r="G27" s="39">
        <f>SUMIFS(TB_Calicut[Aug],TB_Calicut[MIS_Group1],$B27)/10^5</f>
        <v>0</v>
      </c>
      <c r="H27" s="39">
        <f>SUMIFS(TB_Calicut[Sep],TB_Calicut[MIS_Group1],$B27)/10^5</f>
        <v>0</v>
      </c>
      <c r="I27" s="39">
        <f>SUMIFS(TB_Calicut[Oct],TB_Calicut[MIS_Group1],$B27)/10^5</f>
        <v>0</v>
      </c>
      <c r="J27" s="39">
        <f>SUMIFS(TB_Calicut[Nov],TB_Calicut[MIS_Group1],$B27)/10^5</f>
        <v>0</v>
      </c>
      <c r="K27" s="39">
        <f>SUMIFS(TB_Calicut[Dec],TB_Calicut[MIS_Group1],$B27)/10^5</f>
        <v>0</v>
      </c>
      <c r="L27" s="39">
        <f>SUMIFS(TB_Calicut[Jan],TB_Calicut[MIS_Group1],$B27)/10^5</f>
        <v>0</v>
      </c>
      <c r="M27" s="39">
        <f>SUMIFS(TB_Calicut[Feb],TB_Calicut[MIS_Group1],$B27)/10^5</f>
        <v>0</v>
      </c>
      <c r="N27" s="134">
        <f>SUMIFS(TB_Calicut[Mar],TB_Calicut[MIS_Group1],$B27)/10^5</f>
        <v>0</v>
      </c>
      <c r="O27" s="146">
        <f t="shared" si="5"/>
        <v>0</v>
      </c>
      <c r="P27" s="39"/>
      <c r="Q27" s="102"/>
      <c r="R27" s="134">
        <f>SUMIFS(TB_Calicut[Apr_26],TB_Calicut[MIS_Group1],$B27)/10^5</f>
        <v>0</v>
      </c>
      <c r="S27" s="134">
        <f>SUMIFS(TB_Calicut!AB:AB,TB_Calicut!J:J,PL_Calicut!B27)/10^5</f>
        <v>0</v>
      </c>
      <c r="T27" s="134"/>
      <c r="U27" s="149" t="str">
        <f t="shared" si="0"/>
        <v>-</v>
      </c>
      <c r="V27" s="149" t="str">
        <f t="shared" si="1"/>
        <v>-</v>
      </c>
      <c r="W27" s="149" t="str">
        <f t="shared" si="2"/>
        <v>-</v>
      </c>
    </row>
    <row r="28" spans="2:23" x14ac:dyDescent="0.35">
      <c r="B28" s="12" t="s">
        <v>311</v>
      </c>
      <c r="C28" s="118">
        <f>SUMIFS(TB_Calicut[Apr],TB_Calicut[MIS_Group1],$B28)/10^5</f>
        <v>0</v>
      </c>
      <c r="D28" s="39">
        <f>SUMIFS(TB_Calicut[May],TB_Calicut[MIS_Group1],$B28)/10^5</f>
        <v>0</v>
      </c>
      <c r="E28" s="39">
        <f>SUMIFS(TB_Calicut[Jun],TB_Calicut[MIS_Group1],$B28)/10^5</f>
        <v>0</v>
      </c>
      <c r="F28" s="39">
        <f>SUMIFS(TB_Calicut[Jul],TB_Calicut[MIS_Group1],$B28)/10^5</f>
        <v>0.18994</v>
      </c>
      <c r="G28" s="39">
        <f>SUMIFS(TB_Calicut[Aug],TB_Calicut[MIS_Group1],$B28)/10^5</f>
        <v>0.10557</v>
      </c>
      <c r="H28" s="39">
        <f>SUMIFS(TB_Calicut[Sep],TB_Calicut[MIS_Group1],$B28)/10^5</f>
        <v>0</v>
      </c>
      <c r="I28" s="39">
        <f>SUMIFS(TB_Calicut[Oct],TB_Calicut[MIS_Group1],$B28)/10^5</f>
        <v>0</v>
      </c>
      <c r="J28" s="39">
        <f>SUMIFS(TB_Calicut[Nov],TB_Calicut[MIS_Group1],$B28)/10^5</f>
        <v>1.7399999999999999E-2</v>
      </c>
      <c r="K28" s="39">
        <f>SUMIFS(TB_Calicut[Dec],TB_Calicut[MIS_Group1],$B28)/10^5</f>
        <v>0</v>
      </c>
      <c r="L28" s="39">
        <f>SUMIFS(TB_Calicut[Jan],TB_Calicut[MIS_Group1],$B28)/10^5</f>
        <v>0.05</v>
      </c>
      <c r="M28" s="39">
        <f>SUMIFS(TB_Calicut[Feb],TB_Calicut[MIS_Group1],$B28)/10^5</f>
        <v>1.1999999999999999E-3</v>
      </c>
      <c r="N28" s="134">
        <f>SUMIFS(TB_Calicut[Mar],TB_Calicut[MIS_Group1],$B28)/10^5</f>
        <v>0.14910000000000001</v>
      </c>
      <c r="O28" s="146">
        <f t="shared" si="5"/>
        <v>0.51320999999999994</v>
      </c>
      <c r="P28" s="39">
        <v>0.42365838097468628</v>
      </c>
      <c r="Q28" s="102"/>
      <c r="R28" s="134">
        <f>SUMIFS(TB_Calicut[Apr_26],TB_Calicut[MIS_Group1],$B28)/10^5</f>
        <v>0</v>
      </c>
      <c r="S28" s="134">
        <f>SUMIFS(TB_Calicut!AB:AB,TB_Calicut!J:J,PL_Calicut!B28)/10^5</f>
        <v>8.9999999999999998E-4</v>
      </c>
      <c r="T28" s="134"/>
      <c r="U28" s="149" t="str">
        <f t="shared" si="0"/>
        <v>-</v>
      </c>
      <c r="V28" s="149">
        <f t="shared" si="1"/>
        <v>-1</v>
      </c>
      <c r="W28" s="149" t="str">
        <f t="shared" si="2"/>
        <v>-</v>
      </c>
    </row>
    <row r="29" spans="2:23" x14ac:dyDescent="0.35">
      <c r="B29" s="12" t="s">
        <v>317</v>
      </c>
      <c r="C29" s="118">
        <f>SUMIFS(TB_Calicut[Apr],TB_Calicut[MIS_Group1],$B29)/10^5</f>
        <v>0</v>
      </c>
      <c r="D29" s="39">
        <f>SUMIFS(TB_Calicut[May],TB_Calicut[MIS_Group1],$B29)/10^5</f>
        <v>8.7209999999999996E-2</v>
      </c>
      <c r="E29" s="39">
        <f>SUMIFS(TB_Calicut[Jun],TB_Calicut[MIS_Group1],$B29)/10^5</f>
        <v>8.8209999999999997E-2</v>
      </c>
      <c r="F29" s="39">
        <f>SUMIFS(TB_Calicut[Jul],TB_Calicut[MIS_Group1],$B29)/10^5</f>
        <v>0.29400999999999999</v>
      </c>
      <c r="G29" s="39">
        <f>SUMIFS(TB_Calicut[Aug],TB_Calicut[MIS_Group1],$B29)/10^5</f>
        <v>9.758E-2</v>
      </c>
      <c r="H29" s="39">
        <f>SUMIFS(TB_Calicut[Sep],TB_Calicut[MIS_Group1],$B29)/10^5</f>
        <v>0.51348000000000005</v>
      </c>
      <c r="I29" s="39">
        <f>SUMIFS(TB_Calicut[Oct],TB_Calicut[MIS_Group1],$B29)/10^5</f>
        <v>0.18318000000000001</v>
      </c>
      <c r="J29" s="39">
        <f>SUMIFS(TB_Calicut[Nov],TB_Calicut[MIS_Group1],$B29)/10^5</f>
        <v>9.5180000000000001E-2</v>
      </c>
      <c r="K29" s="39">
        <f>SUMIFS(TB_Calicut[Dec],TB_Calicut[MIS_Group1],$B29)/10^5</f>
        <v>0.52817000000000003</v>
      </c>
      <c r="L29" s="39">
        <f>SUMIFS(TB_Calicut[Jan],TB_Calicut[MIS_Group1],$B29)/10^5</f>
        <v>9.4780000000000003E-2</v>
      </c>
      <c r="M29" s="39">
        <f>SUMIFS(TB_Calicut[Feb],TB_Calicut[MIS_Group1],$B29)/10^5</f>
        <v>9.8979999999999999E-2</v>
      </c>
      <c r="N29" s="134">
        <f>SUMIFS(TB_Calicut[Mar],TB_Calicut[MIS_Group1],$B29)/10^5</f>
        <v>0.33538000000000001</v>
      </c>
      <c r="O29" s="146">
        <f t="shared" si="5"/>
        <v>2.4161600000000005</v>
      </c>
      <c r="P29" s="39">
        <v>6.2659919246589251</v>
      </c>
      <c r="Q29" s="102"/>
      <c r="R29" s="134">
        <f>SUMIFS(TB_Calicut[Apr_26],TB_Calicut[MIS_Group1],$B29)/10^5</f>
        <v>0.25280999999999998</v>
      </c>
      <c r="S29" s="134">
        <f>SUMIFS(TB_Calicut!AB:AB,TB_Calicut!J:J,PL_Calicut!B29)/10^5</f>
        <v>0.2670207</v>
      </c>
      <c r="T29" s="134"/>
      <c r="U29" s="149" t="str">
        <f t="shared" si="0"/>
        <v>-</v>
      </c>
      <c r="V29" s="149">
        <f t="shared" si="1"/>
        <v>-0.24619834217902092</v>
      </c>
      <c r="W29" s="149" t="str">
        <f t="shared" si="2"/>
        <v>-</v>
      </c>
    </row>
    <row r="30" spans="2:23" x14ac:dyDescent="0.35">
      <c r="B30" s="12" t="s">
        <v>325</v>
      </c>
      <c r="C30" s="118">
        <f>SUMIFS(TB_Calicut[Apr],TB_Calicut[MIS_Group1],$B30)/10^5</f>
        <v>0</v>
      </c>
      <c r="D30" s="39">
        <f>SUMIFS(TB_Calicut[May],TB_Calicut[MIS_Group1],$B30)/10^5</f>
        <v>0.28599000000000002</v>
      </c>
      <c r="E30" s="39">
        <f>SUMIFS(TB_Calicut[Jun],TB_Calicut[MIS_Group1],$B30)/10^5</f>
        <v>0</v>
      </c>
      <c r="F30" s="39">
        <f>SUMIFS(TB_Calicut[Jul],TB_Calicut[MIS_Group1],$B30)/10^5</f>
        <v>0.31084000000000001</v>
      </c>
      <c r="G30" s="39">
        <f>SUMIFS(TB_Calicut[Aug],TB_Calicut[MIS_Group1],$B30)/10^5</f>
        <v>0.25080999999999998</v>
      </c>
      <c r="H30" s="39">
        <f>SUMIFS(TB_Calicut[Sep],TB_Calicut[MIS_Group1],$B30)/10^5</f>
        <v>0</v>
      </c>
      <c r="I30" s="39">
        <f>SUMIFS(TB_Calicut[Oct],TB_Calicut[MIS_Group1],$B30)/10^5</f>
        <v>0.31385000000000002</v>
      </c>
      <c r="J30" s="39">
        <f>SUMIFS(TB_Calicut[Nov],TB_Calicut[MIS_Group1],$B30)/10^5</f>
        <v>0.25411</v>
      </c>
      <c r="K30" s="39">
        <f>SUMIFS(TB_Calicut[Dec],TB_Calicut[MIS_Group1],$B30)/10^5</f>
        <v>9.6869999999999998E-2</v>
      </c>
      <c r="L30" s="39">
        <f>SUMIFS(TB_Calicut[Jan],TB_Calicut[MIS_Group1],$B30)/10^5</f>
        <v>5.0270000000000002E-2</v>
      </c>
      <c r="M30" s="39">
        <f>SUMIFS(TB_Calicut[Feb],TB_Calicut[MIS_Group1],$B30)/10^5</f>
        <v>0.61245000000000005</v>
      </c>
      <c r="N30" s="134">
        <f>SUMIFS(TB_Calicut[Mar],TB_Calicut[MIS_Group1],$B30)/10^5</f>
        <v>0.31258999999999998</v>
      </c>
      <c r="O30" s="146">
        <f t="shared" si="5"/>
        <v>2.4877800000000003</v>
      </c>
      <c r="P30" s="39">
        <v>2.8636465968361295</v>
      </c>
      <c r="Q30" s="102"/>
      <c r="R30" s="134">
        <f>SUMIFS(TB_Calicut[Apr_26],TB_Calicut[MIS_Group1],$B30)/10^5</f>
        <v>0.17599999999999999</v>
      </c>
      <c r="S30" s="134">
        <f>SUMIFS(TB_Calicut!AB:AB,TB_Calicut!J:J,PL_Calicut!B30)/10^5</f>
        <v>3.0929999999999999E-2</v>
      </c>
      <c r="T30" s="134"/>
      <c r="U30" s="149" t="str">
        <f t="shared" si="0"/>
        <v>-</v>
      </c>
      <c r="V30" s="149">
        <f t="shared" si="1"/>
        <v>-0.43696215489938894</v>
      </c>
      <c r="W30" s="149" t="str">
        <f t="shared" si="2"/>
        <v>-</v>
      </c>
    </row>
    <row r="31" spans="2:23" x14ac:dyDescent="0.35">
      <c r="B31" s="12" t="s">
        <v>270</v>
      </c>
      <c r="C31" s="118">
        <f>SUMIFS(TB_Calicut[Apr],TB_Calicut[MIS_Group1],$B31)/10^5</f>
        <v>-3.7320000000000002E-4</v>
      </c>
      <c r="D31" s="39">
        <f>SUMIFS(TB_Calicut[May],TB_Calicut[MIS_Group1],$B31)/10^5</f>
        <v>5.8809600000000004E-2</v>
      </c>
      <c r="E31" s="39">
        <f>SUMIFS(TB_Calicut[Jun],TB_Calicut[MIS_Group1],$B31)/10^5</f>
        <v>-2.5329999999999998E-4</v>
      </c>
      <c r="F31" s="39">
        <f>SUMIFS(TB_Calicut[Jul],TB_Calicut[MIS_Group1],$B31)/10^5</f>
        <v>7.4339299999999997E-2</v>
      </c>
      <c r="G31" s="39">
        <f>SUMIFS(TB_Calicut[Aug],TB_Calicut[MIS_Group1],$B31)/10^5</f>
        <v>2.5930599999999998E-2</v>
      </c>
      <c r="H31" s="39">
        <f>SUMIFS(TB_Calicut[Sep],TB_Calicut[MIS_Group1],$B31)/10^5</f>
        <v>5.8811800000000004E-2</v>
      </c>
      <c r="I31" s="39">
        <f>SUMIFS(TB_Calicut[Oct],TB_Calicut[MIS_Group1],$B31)/10^5</f>
        <v>2.5024000000000001E-3</v>
      </c>
      <c r="J31" s="39">
        <f>SUMIFS(TB_Calicut[Nov],TB_Calicut[MIS_Group1],$B31)/10^5</f>
        <v>1.00655E-2</v>
      </c>
      <c r="K31" s="39">
        <f>SUMIFS(TB_Calicut[Dec],TB_Calicut[MIS_Group1],$B31)/10^5</f>
        <v>1.0342200000000001E-2</v>
      </c>
      <c r="L31" s="39">
        <f>SUMIFS(TB_Calicut[Jan],TB_Calicut[MIS_Group1],$B31)/10^5</f>
        <v>5.0235000000000002E-3</v>
      </c>
      <c r="M31" s="39">
        <f>SUMIFS(TB_Calicut[Feb],TB_Calicut[MIS_Group1],$B31)/10^5</f>
        <v>6.7379999999999992E-3</v>
      </c>
      <c r="N31" s="134">
        <f>SUMIFS(TB_Calicut[Mar],TB_Calicut[MIS_Group1],$B31)/10^5</f>
        <v>9.1652000000000001E-3</v>
      </c>
      <c r="O31" s="146">
        <f t="shared" si="5"/>
        <v>0.26110159999999999</v>
      </c>
      <c r="P31" s="39">
        <v>1.1279367111648946</v>
      </c>
      <c r="Q31" s="102"/>
      <c r="R31" s="134">
        <f>SUMIFS(TB_Calicut[Apr_26],TB_Calicut[MIS_Group1],$B31)/10^5</f>
        <v>-5.9080000000000005E-4</v>
      </c>
      <c r="S31" s="134">
        <f>SUMIFS(TB_Calicut!AB:AB,TB_Calicut!J:J,PL_Calicut!B31)/10^5</f>
        <v>2.9800999999999998E-3</v>
      </c>
      <c r="T31" s="134"/>
      <c r="U31" s="149">
        <f t="shared" si="0"/>
        <v>0.58306538049303325</v>
      </c>
      <c r="V31" s="149">
        <f t="shared" si="1"/>
        <v>-1.0644612228865709</v>
      </c>
      <c r="W31" s="149" t="str">
        <f t="shared" si="2"/>
        <v>-</v>
      </c>
    </row>
    <row r="32" spans="2:23" x14ac:dyDescent="0.35">
      <c r="B32" s="12" t="s">
        <v>503</v>
      </c>
      <c r="C32" s="118">
        <f>SUMIFS(TB_Calicut[Apr],TB_Calicut[MIS_Group1],$B32)/10^5</f>
        <v>0</v>
      </c>
      <c r="D32" s="39">
        <f>SUMIFS(TB_Calicut[May],TB_Calicut[MIS_Group1],$B32)/10^5</f>
        <v>0</v>
      </c>
      <c r="E32" s="39">
        <f>SUMIFS(TB_Calicut[Jun],TB_Calicut[MIS_Group1],$B32)/10^5</f>
        <v>0</v>
      </c>
      <c r="F32" s="39">
        <f>SUMIFS(TB_Calicut[Jul],TB_Calicut[MIS_Group1],$B32)/10^5</f>
        <v>0</v>
      </c>
      <c r="G32" s="39">
        <f>SUMIFS(TB_Calicut[Aug],TB_Calicut[MIS_Group1],$B32)/10^5</f>
        <v>0</v>
      </c>
      <c r="H32" s="39">
        <f>SUMIFS(TB_Calicut[Sep],TB_Calicut[MIS_Group1],$B32)/10^5</f>
        <v>0</v>
      </c>
      <c r="I32" s="39">
        <f>SUMIFS(TB_Calicut[Oct],TB_Calicut[MIS_Group1],$B32)/10^5</f>
        <v>0</v>
      </c>
      <c r="J32" s="39">
        <f>SUMIFS(TB_Calicut[Nov],TB_Calicut[MIS_Group1],$B32)/10^5</f>
        <v>0</v>
      </c>
      <c r="K32" s="39">
        <f>SUMIFS(TB_Calicut[Dec],TB_Calicut[MIS_Group1],$B32)/10^5</f>
        <v>0</v>
      </c>
      <c r="L32" s="39">
        <f>SUMIFS(TB_Calicut[Jan],TB_Calicut[MIS_Group1],$B32)/10^5</f>
        <v>0</v>
      </c>
      <c r="M32" s="39">
        <f>SUMIFS(TB_Calicut[Feb],TB_Calicut[MIS_Group1],$B32)/10^5</f>
        <v>0</v>
      </c>
      <c r="N32" s="134">
        <f>SUMIFS(TB_Calicut[Mar],TB_Calicut[MIS_Group1],$B32)/10^5</f>
        <v>0</v>
      </c>
      <c r="O32" s="146">
        <f>SUM(C32:N32)</f>
        <v>0</v>
      </c>
      <c r="P32" s="39"/>
      <c r="Q32" s="102"/>
      <c r="R32" s="134">
        <f>SUMIFS(TB_Calicut[Apr_26],TB_Calicut[MIS_Group1],$B32)/10^5</f>
        <v>0</v>
      </c>
      <c r="S32" s="134">
        <f>SUMIFS(TB_Calicut!AB:AB,TB_Calicut!J:J,PL_Calicut!B32)/10^5</f>
        <v>0</v>
      </c>
      <c r="T32" s="134"/>
      <c r="U32" s="149" t="str">
        <f t="shared" si="0"/>
        <v>-</v>
      </c>
      <c r="V32" s="149" t="str">
        <f t="shared" si="1"/>
        <v>-</v>
      </c>
      <c r="W32" s="149" t="str">
        <f t="shared" si="2"/>
        <v>-</v>
      </c>
    </row>
    <row r="33" spans="2:27" x14ac:dyDescent="0.35">
      <c r="B33" s="22" t="s">
        <v>492</v>
      </c>
      <c r="C33" s="120">
        <f t="shared" ref="C33:O33" si="6">SUM(C13:C32)</f>
        <v>35.314937896605677</v>
      </c>
      <c r="D33" s="41">
        <f t="shared" si="6"/>
        <v>39.401268851605629</v>
      </c>
      <c r="E33" s="41">
        <f t="shared" si="6"/>
        <v>39.691506075605638</v>
      </c>
      <c r="F33" s="41">
        <f t="shared" si="6"/>
        <v>45.259872365605631</v>
      </c>
      <c r="G33" s="41">
        <f t="shared" si="6"/>
        <v>40.920804882605644</v>
      </c>
      <c r="H33" s="41">
        <f t="shared" si="6"/>
        <v>44.960313912605642</v>
      </c>
      <c r="I33" s="41">
        <f t="shared" si="6"/>
        <v>47.942029828605634</v>
      </c>
      <c r="J33" s="41">
        <f t="shared" si="6"/>
        <v>45.312442473605635</v>
      </c>
      <c r="K33" s="41">
        <f t="shared" si="6"/>
        <v>49.969273123605646</v>
      </c>
      <c r="L33" s="41">
        <f t="shared" si="6"/>
        <v>42.989857379605638</v>
      </c>
      <c r="M33" s="41">
        <f t="shared" si="6"/>
        <v>49.117922777605628</v>
      </c>
      <c r="N33" s="124">
        <f t="shared" si="6"/>
        <v>51.116267755605634</v>
      </c>
      <c r="O33" s="145">
        <f t="shared" si="6"/>
        <v>531.9964973232677</v>
      </c>
      <c r="P33" s="41">
        <f>SUM(P13:P32)</f>
        <v>658.58197327569269</v>
      </c>
      <c r="Q33" s="41">
        <f>SUM(Q13:Q32)</f>
        <v>0</v>
      </c>
      <c r="R33" s="124">
        <f>SUM(R13:R32)</f>
        <v>50.160286192605646</v>
      </c>
      <c r="S33" s="124">
        <f>SUM(S13:S32)</f>
        <v>45.881173403605644</v>
      </c>
      <c r="T33" s="124"/>
      <c r="U33" s="156">
        <f t="shared" si="0"/>
        <v>0.42037022235360744</v>
      </c>
      <c r="V33" s="156">
        <f t="shared" si="1"/>
        <v>-1.8702100231000385E-2</v>
      </c>
      <c r="W33" s="156" t="str">
        <f t="shared" si="2"/>
        <v>-</v>
      </c>
    </row>
    <row r="34" spans="2:27" ht="4.5" customHeight="1" x14ac:dyDescent="0.35">
      <c r="C34" s="11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134"/>
      <c r="O34" s="146"/>
      <c r="P34" s="39"/>
      <c r="Q34" s="102"/>
      <c r="R34" s="134"/>
      <c r="S34" s="134"/>
      <c r="T34" s="134"/>
      <c r="U34" s="149" t="str">
        <f t="shared" si="0"/>
        <v>-</v>
      </c>
      <c r="V34" s="149" t="str">
        <f t="shared" si="1"/>
        <v>-</v>
      </c>
      <c r="W34" s="149" t="str">
        <f t="shared" si="2"/>
        <v>-</v>
      </c>
    </row>
    <row r="35" spans="2:27" x14ac:dyDescent="0.35">
      <c r="B35" s="8" t="s">
        <v>331</v>
      </c>
      <c r="C35" s="119">
        <f t="shared" ref="C35:O35" si="7">C11-C33</f>
        <v>-7.0353299966056753</v>
      </c>
      <c r="D35" s="40">
        <f t="shared" si="7"/>
        <v>-16.332515551605628</v>
      </c>
      <c r="E35" s="40">
        <f t="shared" si="7"/>
        <v>-14.776145175605642</v>
      </c>
      <c r="F35" s="40">
        <f t="shared" si="7"/>
        <v>-14.081999465605634</v>
      </c>
      <c r="G35" s="40">
        <f t="shared" si="7"/>
        <v>-11.551213882605644</v>
      </c>
      <c r="H35" s="40">
        <f t="shared" si="7"/>
        <v>-12.894305912605645</v>
      </c>
      <c r="I35" s="40">
        <f t="shared" si="7"/>
        <v>-15.269071828605632</v>
      </c>
      <c r="J35" s="40">
        <f t="shared" si="7"/>
        <v>-16.772907773605635</v>
      </c>
      <c r="K35" s="40">
        <f t="shared" si="7"/>
        <v>-13.071551723605644</v>
      </c>
      <c r="L35" s="40">
        <f t="shared" si="7"/>
        <v>-14.623702379605639</v>
      </c>
      <c r="M35" s="40">
        <f t="shared" si="7"/>
        <v>-15.584674877605622</v>
      </c>
      <c r="N35" s="135">
        <f t="shared" si="7"/>
        <v>-21.380312155605633</v>
      </c>
      <c r="O35" s="147">
        <f t="shared" si="7"/>
        <v>-173.37373072326767</v>
      </c>
      <c r="P35" s="40">
        <f>P11-P33</f>
        <v>-207.58196571569283</v>
      </c>
      <c r="Q35" s="144">
        <f>Q11-Q33</f>
        <v>0</v>
      </c>
      <c r="R35" s="135">
        <f>R11-R33</f>
        <v>-19.590613792605648</v>
      </c>
      <c r="S35" s="135">
        <f>S11-S33</f>
        <v>-18.729499003605643</v>
      </c>
      <c r="T35" s="135"/>
      <c r="U35" s="153">
        <f t="shared" si="0"/>
        <v>1.784604816271234</v>
      </c>
      <c r="V35" s="153">
        <f t="shared" si="1"/>
        <v>-8.370777517066097E-2</v>
      </c>
      <c r="W35" s="153" t="str">
        <f t="shared" si="2"/>
        <v>-</v>
      </c>
      <c r="Z35" s="13"/>
      <c r="AA35" s="23"/>
    </row>
    <row r="36" spans="2:27" x14ac:dyDescent="0.35">
      <c r="B36" s="12" t="s">
        <v>332</v>
      </c>
      <c r="C36" s="118">
        <v>1.7730821412093432</v>
      </c>
      <c r="D36" s="39">
        <f>((Depr.!$H$16/PL_Consol!$P$15)*$O$11)/12</f>
        <v>0.1281894675272949</v>
      </c>
      <c r="E36" s="39">
        <f>((Depr.!$H$16/PL_Consol!$P$15)*$O$11)/12</f>
        <v>0.1281894675272949</v>
      </c>
      <c r="F36" s="39">
        <f>((Depr.!$H$16/PL_Consol!$P$15)*$O$11)/12</f>
        <v>0.1281894675272949</v>
      </c>
      <c r="G36" s="39">
        <f>((Depr.!$H$16/PL_Consol!$P$15)*$O$11)/12</f>
        <v>0.1281894675272949</v>
      </c>
      <c r="H36" s="39">
        <f>((Depr.!$H$16/PL_Consol!$P$15)*$O$11)/12</f>
        <v>0.1281894675272949</v>
      </c>
      <c r="I36" s="39">
        <f>((Depr.!$H$16/PL_Consol!$P$15)*$O$11)/12</f>
        <v>0.1281894675272949</v>
      </c>
      <c r="J36" s="39">
        <f>((Depr.!$H$16/PL_Consol!$P$15)*$O$11)/12</f>
        <v>0.1281894675272949</v>
      </c>
      <c r="K36" s="39">
        <f>((Depr.!$H$16/PL_Consol!$P$15)*$O$11)/12</f>
        <v>0.1281894675272949</v>
      </c>
      <c r="L36" s="39">
        <f>((Depr.!$H$16/PL_Consol!$P$15)*$O$11)/12</f>
        <v>0.1281894675272949</v>
      </c>
      <c r="M36" s="39">
        <f>((Depr.!$H$16/PL_Consol!$P$15)*$O$11)/12</f>
        <v>0.1281894675272949</v>
      </c>
      <c r="N36" s="134">
        <v>1.7730821412093432</v>
      </c>
      <c r="O36" s="146">
        <f>SUM(C36:N36)</f>
        <v>4.8280589576916357</v>
      </c>
      <c r="P36" s="39">
        <v>129.99999999999997</v>
      </c>
      <c r="Q36" s="102"/>
      <c r="R36" s="134">
        <f>Depr.!$H$16/(PL_Kochi!$R$15+PL_Calicut!$R$11+PL_FNB!$R$9)*PL_Calicut!R11</f>
        <v>1.4101522535246667</v>
      </c>
      <c r="S36" s="134">
        <f>Depr.!H16/PL_Consol!T15*PL_Calicut!S11</f>
        <v>1.2100155754887012</v>
      </c>
      <c r="T36" s="134"/>
      <c r="U36" s="149">
        <f t="shared" si="0"/>
        <v>-0.20468870519283311</v>
      </c>
      <c r="V36" s="149">
        <f t="shared" si="1"/>
        <v>-0.20468870519283311</v>
      </c>
      <c r="W36" s="149" t="str">
        <f t="shared" si="2"/>
        <v>-</v>
      </c>
    </row>
    <row r="37" spans="2:27" x14ac:dyDescent="0.35">
      <c r="B37" s="8" t="s">
        <v>336</v>
      </c>
      <c r="C37" s="119">
        <f>C35-C36</f>
        <v>-8.8084121378150186</v>
      </c>
      <c r="D37" s="40">
        <f t="shared" ref="D37:O37" si="8">D35-D36</f>
        <v>-16.460705019132924</v>
      </c>
      <c r="E37" s="40">
        <f t="shared" si="8"/>
        <v>-14.904334643132936</v>
      </c>
      <c r="F37" s="40">
        <f t="shared" si="8"/>
        <v>-14.210188933132928</v>
      </c>
      <c r="G37" s="40">
        <f t="shared" si="8"/>
        <v>-11.679403350132938</v>
      </c>
      <c r="H37" s="40">
        <f t="shared" si="8"/>
        <v>-13.02249538013294</v>
      </c>
      <c r="I37" s="40">
        <f t="shared" si="8"/>
        <v>-15.397261296132926</v>
      </c>
      <c r="J37" s="40">
        <f t="shared" si="8"/>
        <v>-16.901097241132931</v>
      </c>
      <c r="K37" s="40">
        <f t="shared" si="8"/>
        <v>-13.199741191132938</v>
      </c>
      <c r="L37" s="40">
        <f t="shared" si="8"/>
        <v>-14.751891847132933</v>
      </c>
      <c r="M37" s="40">
        <f t="shared" si="8"/>
        <v>-15.712864345132916</v>
      </c>
      <c r="N37" s="135">
        <f t="shared" si="8"/>
        <v>-23.153394296814977</v>
      </c>
      <c r="O37" s="147">
        <f t="shared" si="8"/>
        <v>-178.20178968095931</v>
      </c>
      <c r="P37" s="40">
        <f>P35-P36</f>
        <v>-337.58196571569283</v>
      </c>
      <c r="Q37" s="144">
        <f>Q35-Q36</f>
        <v>0</v>
      </c>
      <c r="R37" s="135">
        <f>R35-R36</f>
        <v>-21.000766046130316</v>
      </c>
      <c r="S37" s="135">
        <f>S35-S36</f>
        <v>-19.939514579094343</v>
      </c>
      <c r="T37" s="135"/>
      <c r="U37" s="153">
        <f t="shared" si="0"/>
        <v>1.3841715984170202</v>
      </c>
      <c r="V37" s="153">
        <f t="shared" si="1"/>
        <v>-9.2972469741975594E-2</v>
      </c>
      <c r="W37" s="153" t="str">
        <f t="shared" si="2"/>
        <v>-</v>
      </c>
    </row>
    <row r="38" spans="2:27" x14ac:dyDescent="0.35">
      <c r="B38" s="12" t="s">
        <v>204</v>
      </c>
      <c r="C38" s="118">
        <f>SUMIFS(TB_Calicut[Apr],TB_Calicut[MIS_Group1],$B38)/10^5</f>
        <v>4.6362E-3</v>
      </c>
      <c r="D38" s="39">
        <f>SUMIFS(TB_Calicut[May],TB_Calicut[MIS_Group1],$B38)/10^5</f>
        <v>6.2294200000000001E-2</v>
      </c>
      <c r="E38" s="39">
        <f>SUMIFS(TB_Calicut[Jun],TB_Calicut[MIS_Group1],$B38)/10^5</f>
        <v>5.8105400000000001E-2</v>
      </c>
      <c r="F38" s="39">
        <f>SUMIFS(TB_Calicut[Jul],TB_Calicut[MIS_Group1],$B38)/10^5</f>
        <v>8.709639999999999E-2</v>
      </c>
      <c r="G38" s="39">
        <f>SUMIFS(TB_Calicut[Aug],TB_Calicut[MIS_Group1],$B38)/10^5</f>
        <v>8.2247600000000004E-2</v>
      </c>
      <c r="H38" s="39">
        <f>SUMIFS(TB_Calicut[Sep],TB_Calicut[MIS_Group1],$B38)/10^5</f>
        <v>8.4073700000000001E-2</v>
      </c>
      <c r="I38" s="39">
        <f>SUMIFS(TB_Calicut[Oct],TB_Calicut[MIS_Group1],$B38)/10^5</f>
        <v>8.5262100000000007E-2</v>
      </c>
      <c r="J38" s="39">
        <f>SUMIFS(TB_Calicut[Nov],TB_Calicut[MIS_Group1],$B38)/10^5</f>
        <v>0.10287389999999999</v>
      </c>
      <c r="K38" s="39">
        <f>SUMIFS(TB_Calicut[Dec],TB_Calicut[MIS_Group1],$B38)/10^5</f>
        <v>7.8136499999999998E-2</v>
      </c>
      <c r="L38" s="39">
        <f>SUMIFS(TB_Calicut[Jan],TB_Calicut[MIS_Group1],$B38)/10^5</f>
        <v>7.9462099999999994E-2</v>
      </c>
      <c r="M38" s="39">
        <f>SUMIFS(TB_Calicut[Feb],TB_Calicut[MIS_Group1],$B38)/10^5</f>
        <v>9.84125E-2</v>
      </c>
      <c r="N38" s="134">
        <f>SUMIFS(TB_Calicut[Mar],TB_Calicut[MIS_Group1],$B38)/10^5</f>
        <v>0.1301486</v>
      </c>
      <c r="O38" s="146">
        <f>SUM(C38:N38)</f>
        <v>0.95274919999999996</v>
      </c>
      <c r="P38" s="39">
        <v>0</v>
      </c>
      <c r="Q38" s="102"/>
      <c r="R38" s="134">
        <f>SUMIFS(TB_Calicut[Apr_26],TB_Calicut[MIS_Group1],$B38)/10^5</f>
        <v>5.2916299999999999E-2</v>
      </c>
      <c r="S38" s="134">
        <f>SUMIFS(TB_Calicut[Apr_26],TB_Calicut[MIS_Group1],$B38)/10^5</f>
        <v>5.2916299999999999E-2</v>
      </c>
      <c r="T38" s="134"/>
      <c r="U38" s="149">
        <f t="shared" si="0"/>
        <v>10.413722445105906</v>
      </c>
      <c r="V38" s="149">
        <f t="shared" si="1"/>
        <v>-0.59341629491212355</v>
      </c>
      <c r="W38" s="149" t="str">
        <f t="shared" si="2"/>
        <v>-</v>
      </c>
    </row>
    <row r="39" spans="2:27" x14ac:dyDescent="0.35">
      <c r="B39" s="27" t="s">
        <v>333</v>
      </c>
      <c r="C39" s="119">
        <f>C37-C38</f>
        <v>-8.8130483378150188</v>
      </c>
      <c r="D39" s="40">
        <f t="shared" ref="D39:O39" si="9">D37-D38</f>
        <v>-16.522999219132924</v>
      </c>
      <c r="E39" s="40">
        <f t="shared" si="9"/>
        <v>-14.962440043132936</v>
      </c>
      <c r="F39" s="40">
        <f t="shared" si="9"/>
        <v>-14.297285333132928</v>
      </c>
      <c r="G39" s="40">
        <f t="shared" si="9"/>
        <v>-11.761650950132939</v>
      </c>
      <c r="H39" s="40">
        <f t="shared" si="9"/>
        <v>-13.106569080132939</v>
      </c>
      <c r="I39" s="40">
        <f t="shared" si="9"/>
        <v>-15.482523396132926</v>
      </c>
      <c r="J39" s="40">
        <f t="shared" si="9"/>
        <v>-17.003971141132929</v>
      </c>
      <c r="K39" s="40">
        <f t="shared" si="9"/>
        <v>-13.277877691132938</v>
      </c>
      <c r="L39" s="40">
        <f t="shared" si="9"/>
        <v>-14.831353947132934</v>
      </c>
      <c r="M39" s="40">
        <f t="shared" si="9"/>
        <v>-15.811276845132916</v>
      </c>
      <c r="N39" s="135">
        <f t="shared" si="9"/>
        <v>-23.283542896814975</v>
      </c>
      <c r="O39" s="147">
        <f t="shared" si="9"/>
        <v>-179.15453888095931</v>
      </c>
      <c r="P39" s="40">
        <f>P37-P38</f>
        <v>-337.58196571569283</v>
      </c>
      <c r="Q39" s="144">
        <f>Q37-Q38</f>
        <v>0</v>
      </c>
      <c r="R39" s="135">
        <f>R37-R38</f>
        <v>-21.053682346130316</v>
      </c>
      <c r="S39" s="135">
        <f>S37-S38</f>
        <v>-19.992430879094343</v>
      </c>
      <c r="T39" s="135"/>
      <c r="U39" s="153">
        <f t="shared" si="0"/>
        <v>1.388921691918243</v>
      </c>
      <c r="V39" s="153">
        <f t="shared" si="1"/>
        <v>-9.5769813063530274E-2</v>
      </c>
      <c r="W39" s="153" t="str">
        <f t="shared" si="2"/>
        <v>-</v>
      </c>
    </row>
    <row r="40" spans="2:27" x14ac:dyDescent="0.35">
      <c r="B40" s="12" t="s">
        <v>334</v>
      </c>
      <c r="C40" s="118">
        <f>IF(C39&gt;0,C39*PL_Consol!$R$44/PL_Consol!$R$43,0)</f>
        <v>0</v>
      </c>
      <c r="D40" s="39">
        <f>IF(D39&gt;0,D39*PL_Consol!$R$44/PL_Consol!$R$43,0)</f>
        <v>0</v>
      </c>
      <c r="E40" s="39">
        <f>IF(E39&gt;0,E39*PL_Consol!$R$44/PL_Consol!$R$43,0)</f>
        <v>0</v>
      </c>
      <c r="F40" s="39">
        <f>IF(F39&gt;0,F39*PL_Consol!$R$44/PL_Consol!$R$43,0)</f>
        <v>0</v>
      </c>
      <c r="G40" s="39">
        <f>IF(G39&gt;0,G39*PL_Consol!$R$44/PL_Consol!$R$43,0)</f>
        <v>0</v>
      </c>
      <c r="H40" s="39">
        <f>IF(H39&gt;0,H39*PL_Consol!$R$44/PL_Consol!$R$43,0)</f>
        <v>0</v>
      </c>
      <c r="I40" s="39">
        <f>IF(I39&gt;0,I39*PL_Consol!$R$44/PL_Consol!$R$43,0)</f>
        <v>0</v>
      </c>
      <c r="J40" s="39">
        <f>IF(J39&gt;0,J39*PL_Consol!$R$44/PL_Consol!$R$43,0)</f>
        <v>0</v>
      </c>
      <c r="K40" s="39">
        <f>IF(K39&gt;0,K39*PL_Consol!$R$44/PL_Consol!$R$43,0)</f>
        <v>0</v>
      </c>
      <c r="L40" s="39">
        <f>IF(L39&gt;0,L39*PL_Consol!$R$44/PL_Consol!$R$43,0)</f>
        <v>0</v>
      </c>
      <c r="M40" s="39">
        <f>IF(M39&gt;0,M39*PL_Consol!$R$44/PL_Consol!$R$43,0)</f>
        <v>0</v>
      </c>
      <c r="N40" s="134">
        <f>IF(N39&gt;0,N39*PL_Consol!$R$44/PL_Consol!$R$43,0)</f>
        <v>0</v>
      </c>
      <c r="O40" s="146">
        <f>SUM(C40:N40)</f>
        <v>0</v>
      </c>
      <c r="P40" s="39">
        <f>IF(P39&gt;0,P39*PL_Consol!$R$44/PL_Consol!$R$43,0)</f>
        <v>0</v>
      </c>
      <c r="Q40" s="102">
        <f>SUMIFS(TB_Calicut[Mar],TB_Calicut[MIS_Group1],$B40)/10^5</f>
        <v>0</v>
      </c>
      <c r="R40" s="134">
        <f>IF(R39&gt;0,R39*PL_Consol!$R$44/PL_Consol!$R$43,0)</f>
        <v>0</v>
      </c>
      <c r="S40" s="134">
        <f>IF(S39&gt;0,S39*PL_Consol!$R$44/PL_Consol!$R$43,0)</f>
        <v>0</v>
      </c>
      <c r="T40" s="134"/>
      <c r="U40" s="149" t="str">
        <f t="shared" si="0"/>
        <v>-</v>
      </c>
      <c r="V40" s="149" t="str">
        <f t="shared" si="1"/>
        <v>-</v>
      </c>
      <c r="W40" s="149" t="str">
        <f t="shared" si="2"/>
        <v>-</v>
      </c>
    </row>
    <row r="41" spans="2:27" x14ac:dyDescent="0.35">
      <c r="B41" s="44" t="s">
        <v>335</v>
      </c>
      <c r="C41" s="121">
        <f>C39-C40</f>
        <v>-8.8130483378150188</v>
      </c>
      <c r="D41" s="45">
        <f t="shared" ref="D41:O41" si="10">D39-D40</f>
        <v>-16.522999219132924</v>
      </c>
      <c r="E41" s="45">
        <f t="shared" si="10"/>
        <v>-14.962440043132936</v>
      </c>
      <c r="F41" s="45">
        <f t="shared" si="10"/>
        <v>-14.297285333132928</v>
      </c>
      <c r="G41" s="45">
        <f t="shared" si="10"/>
        <v>-11.761650950132939</v>
      </c>
      <c r="H41" s="45">
        <f t="shared" si="10"/>
        <v>-13.106569080132939</v>
      </c>
      <c r="I41" s="45">
        <f t="shared" si="10"/>
        <v>-15.482523396132926</v>
      </c>
      <c r="J41" s="45">
        <f t="shared" si="10"/>
        <v>-17.003971141132929</v>
      </c>
      <c r="K41" s="45">
        <f t="shared" si="10"/>
        <v>-13.277877691132938</v>
      </c>
      <c r="L41" s="45">
        <f t="shared" si="10"/>
        <v>-14.831353947132934</v>
      </c>
      <c r="M41" s="45">
        <f t="shared" si="10"/>
        <v>-15.811276845132916</v>
      </c>
      <c r="N41" s="136">
        <f t="shared" si="10"/>
        <v>-23.283542896814975</v>
      </c>
      <c r="O41" s="97">
        <f t="shared" si="10"/>
        <v>-179.15453888095931</v>
      </c>
      <c r="P41" s="45">
        <f>P39-P40</f>
        <v>-337.58196571569283</v>
      </c>
      <c r="Q41" s="103">
        <f>Q39-Q40</f>
        <v>0</v>
      </c>
      <c r="R41" s="136">
        <f>R39-R40</f>
        <v>-21.053682346130316</v>
      </c>
      <c r="S41" s="136">
        <f>S39-S40</f>
        <v>-19.992430879094343</v>
      </c>
      <c r="T41" s="136"/>
      <c r="U41" s="154">
        <f t="shared" si="0"/>
        <v>1.388921691918243</v>
      </c>
      <c r="V41" s="154">
        <f t="shared" si="1"/>
        <v>-9.5769813063530274E-2</v>
      </c>
      <c r="W41" s="154" t="str">
        <f t="shared" si="2"/>
        <v>-</v>
      </c>
    </row>
    <row r="42" spans="2:27" x14ac:dyDescent="0.35">
      <c r="B42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40"/>
      <c r="P42" s="39"/>
      <c r="Q42" s="39"/>
      <c r="R42" s="39"/>
      <c r="S42" s="39"/>
    </row>
    <row r="43" spans="2:27" x14ac:dyDescent="0.35">
      <c r="B43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40"/>
      <c r="P43" s="39"/>
      <c r="Q43" s="39"/>
      <c r="R43" s="39"/>
      <c r="S43" s="39"/>
    </row>
    <row r="44" spans="2:27" x14ac:dyDescent="0.35">
      <c r="B44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0"/>
      <c r="P44" s="39"/>
      <c r="Q44" s="39"/>
      <c r="R44" s="39"/>
      <c r="S44" s="39"/>
    </row>
    <row r="45" spans="2:27" x14ac:dyDescent="0.35">
      <c r="B45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0"/>
      <c r="P45" s="39"/>
      <c r="Q45" s="39"/>
      <c r="R45" s="39"/>
      <c r="S45" s="39"/>
    </row>
    <row r="46" spans="2:27" x14ac:dyDescent="0.35"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2:27" ht="15" thickBot="1" x14ac:dyDescent="0.4">
      <c r="B47" s="30" t="s">
        <v>612</v>
      </c>
      <c r="C47" s="31"/>
      <c r="D47" s="31"/>
      <c r="E47" s="32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2:27" x14ac:dyDescent="0.35">
      <c r="T48" s="138" t="s">
        <v>613</v>
      </c>
    </row>
    <row r="49" spans="2:20" x14ac:dyDescent="0.35">
      <c r="B49" s="33" t="s">
        <v>466</v>
      </c>
      <c r="C49" s="132">
        <v>45748</v>
      </c>
      <c r="D49" s="132">
        <v>45778</v>
      </c>
      <c r="E49" s="132">
        <v>45809</v>
      </c>
      <c r="F49" s="132">
        <v>45839</v>
      </c>
      <c r="G49" s="132">
        <v>45870</v>
      </c>
      <c r="H49" s="132">
        <v>45901</v>
      </c>
      <c r="I49" s="132">
        <v>45931</v>
      </c>
      <c r="J49" s="132">
        <v>45962</v>
      </c>
      <c r="K49" s="132">
        <v>45992</v>
      </c>
      <c r="L49" s="132">
        <v>46023</v>
      </c>
      <c r="M49" s="132">
        <v>46054</v>
      </c>
      <c r="N49" s="132">
        <v>46082</v>
      </c>
      <c r="O49" s="34" t="s">
        <v>219</v>
      </c>
      <c r="P49" s="34" t="s">
        <v>613</v>
      </c>
      <c r="Q49" s="34" t="s">
        <v>614</v>
      </c>
      <c r="R49" s="132">
        <v>46113</v>
      </c>
      <c r="S49" s="132"/>
      <c r="T49" s="132">
        <v>46113</v>
      </c>
    </row>
    <row r="50" spans="2:20" x14ac:dyDescent="0.35">
      <c r="B50" s="8" t="s">
        <v>220</v>
      </c>
      <c r="O50" s="98"/>
      <c r="Q50" s="101"/>
    </row>
    <row r="51" spans="2:20" x14ac:dyDescent="0.35">
      <c r="B51" s="12" t="s">
        <v>202</v>
      </c>
      <c r="C51" s="52">
        <f>IFERROR(C7/C$11,0)</f>
        <v>0.42099982227829963</v>
      </c>
      <c r="D51" s="52">
        <f t="shared" ref="D51:Q51" si="11">IFERROR(D7/D$11,0)</f>
        <v>0.38688393273510796</v>
      </c>
      <c r="E51" s="52">
        <f t="shared" si="11"/>
        <v>0.39855573193804311</v>
      </c>
      <c r="F51" s="52">
        <f t="shared" si="11"/>
        <v>0.39967223036565785</v>
      </c>
      <c r="G51" s="52">
        <f t="shared" si="11"/>
        <v>0.42765852953144634</v>
      </c>
      <c r="H51" s="52">
        <f t="shared" si="11"/>
        <v>0.39200769550110504</v>
      </c>
      <c r="I51" s="52">
        <f t="shared" si="11"/>
        <v>0.36358657823390211</v>
      </c>
      <c r="J51" s="52">
        <f t="shared" si="11"/>
        <v>0.36640331070288962</v>
      </c>
      <c r="K51" s="52">
        <f t="shared" si="11"/>
        <v>0.28611631286261485</v>
      </c>
      <c r="L51" s="52">
        <f t="shared" si="11"/>
        <v>0.35767520483477583</v>
      </c>
      <c r="M51" s="52">
        <f t="shared" si="11"/>
        <v>0.34809824073140255</v>
      </c>
      <c r="N51" s="52">
        <f t="shared" si="11"/>
        <v>0.35534960241869612</v>
      </c>
      <c r="O51" s="107">
        <f t="shared" si="11"/>
        <v>0.37262238805114384</v>
      </c>
      <c r="P51" s="52">
        <f t="shared" si="11"/>
        <v>0.37426659778079158</v>
      </c>
      <c r="Q51" s="108">
        <f t="shared" si="11"/>
        <v>0</v>
      </c>
      <c r="R51" s="52">
        <f t="shared" ref="R51:R85" si="12">IFERROR(R7/R$11,0)</f>
        <v>0.29962882428533971</v>
      </c>
      <c r="S51" s="52"/>
      <c r="T51" s="52">
        <f t="shared" ref="T51:T85" si="13">IFERROR(T7/T$11,0)</f>
        <v>0</v>
      </c>
    </row>
    <row r="52" spans="2:20" x14ac:dyDescent="0.35">
      <c r="B52" s="12" t="s">
        <v>201</v>
      </c>
      <c r="C52" s="52">
        <f t="shared" ref="C52:Q52" si="14">IFERROR(C8/C$11,0)</f>
        <v>0.57900017772170043</v>
      </c>
      <c r="D52" s="52">
        <f t="shared" si="14"/>
        <v>0.6131160672648921</v>
      </c>
      <c r="E52" s="52">
        <f t="shared" si="14"/>
        <v>0.60144426806195694</v>
      </c>
      <c r="F52" s="52">
        <f t="shared" si="14"/>
        <v>0.57880320950310893</v>
      </c>
      <c r="G52" s="52">
        <f t="shared" si="14"/>
        <v>0.56848510079694337</v>
      </c>
      <c r="H52" s="52">
        <f t="shared" si="14"/>
        <v>0.60441811465898732</v>
      </c>
      <c r="I52" s="52">
        <f t="shared" si="14"/>
        <v>0.63266138927488591</v>
      </c>
      <c r="J52" s="52">
        <f t="shared" si="14"/>
        <v>0.62888638124853524</v>
      </c>
      <c r="K52" s="52">
        <f t="shared" si="14"/>
        <v>0.7104054235717655</v>
      </c>
      <c r="L52" s="52">
        <f t="shared" si="14"/>
        <v>0.63901274952491804</v>
      </c>
      <c r="M52" s="52">
        <f t="shared" si="14"/>
        <v>0.64888863031964172</v>
      </c>
      <c r="N52" s="52">
        <f t="shared" si="14"/>
        <v>0.64141592947495529</v>
      </c>
      <c r="O52" s="107">
        <f t="shared" si="14"/>
        <v>0.62298444412257226</v>
      </c>
      <c r="P52" s="52">
        <f t="shared" si="14"/>
        <v>0.6257333854564594</v>
      </c>
      <c r="Q52" s="108">
        <f t="shared" si="14"/>
        <v>0</v>
      </c>
      <c r="R52" s="52">
        <f t="shared" si="12"/>
        <v>0.69817030162220517</v>
      </c>
      <c r="S52" s="52"/>
      <c r="T52" s="52">
        <f t="shared" si="13"/>
        <v>0</v>
      </c>
    </row>
    <row r="53" spans="2:20" x14ac:dyDescent="0.35">
      <c r="B53" s="8" t="s">
        <v>329</v>
      </c>
      <c r="C53" s="52">
        <f t="shared" ref="C53:Q53" si="15">IFERROR(C9/C$11,0)</f>
        <v>1</v>
      </c>
      <c r="D53" s="52">
        <f t="shared" si="15"/>
        <v>1</v>
      </c>
      <c r="E53" s="52">
        <f t="shared" si="15"/>
        <v>1</v>
      </c>
      <c r="F53" s="52">
        <f t="shared" si="15"/>
        <v>0.97847543986876673</v>
      </c>
      <c r="G53" s="52">
        <f t="shared" si="15"/>
        <v>0.9961436303283896</v>
      </c>
      <c r="H53" s="52">
        <f t="shared" si="15"/>
        <v>0.99642581016009235</v>
      </c>
      <c r="I53" s="52">
        <f t="shared" si="15"/>
        <v>0.99624796750878808</v>
      </c>
      <c r="J53" s="52">
        <f t="shared" si="15"/>
        <v>0.99528969195142492</v>
      </c>
      <c r="K53" s="52">
        <f t="shared" si="15"/>
        <v>0.99652173643438047</v>
      </c>
      <c r="L53" s="52">
        <f t="shared" si="15"/>
        <v>0.99668795435969382</v>
      </c>
      <c r="M53" s="52">
        <f t="shared" si="15"/>
        <v>0.99698687105104433</v>
      </c>
      <c r="N53" s="52">
        <f t="shared" si="15"/>
        <v>0.99676553189365136</v>
      </c>
      <c r="O53" s="107">
        <f t="shared" si="15"/>
        <v>0.99560683217371626</v>
      </c>
      <c r="P53" s="52">
        <f t="shared" si="15"/>
        <v>0.99999998323725092</v>
      </c>
      <c r="Q53" s="108">
        <f t="shared" si="15"/>
        <v>0</v>
      </c>
      <c r="R53" s="52">
        <f t="shared" si="12"/>
        <v>0.99779912590754494</v>
      </c>
      <c r="S53" s="52"/>
      <c r="T53" s="52">
        <f t="shared" si="13"/>
        <v>0</v>
      </c>
    </row>
    <row r="54" spans="2:20" x14ac:dyDescent="0.35">
      <c r="B54" s="12" t="s">
        <v>222</v>
      </c>
      <c r="C54" s="52">
        <f t="shared" ref="C54:Q54" si="16">IFERROR(C10/C$11,0)</f>
        <v>0</v>
      </c>
      <c r="D54" s="52">
        <f t="shared" si="16"/>
        <v>0</v>
      </c>
      <c r="E54" s="52">
        <f t="shared" si="16"/>
        <v>0</v>
      </c>
      <c r="F54" s="52">
        <f t="shared" si="16"/>
        <v>2.1524560131233328E-2</v>
      </c>
      <c r="G54" s="52">
        <f t="shared" si="16"/>
        <v>3.8563696716103399E-3</v>
      </c>
      <c r="H54" s="52">
        <f t="shared" si="16"/>
        <v>3.5741898399077308E-3</v>
      </c>
      <c r="I54" s="52">
        <f t="shared" si="16"/>
        <v>3.7520324912118457E-3</v>
      </c>
      <c r="J54" s="52">
        <f t="shared" si="16"/>
        <v>4.7103080485751576E-3</v>
      </c>
      <c r="K54" s="52">
        <f t="shared" si="16"/>
        <v>3.4782635656195292E-3</v>
      </c>
      <c r="L54" s="52">
        <f t="shared" si="16"/>
        <v>3.312045640306203E-3</v>
      </c>
      <c r="M54" s="52">
        <f t="shared" si="16"/>
        <v>3.0131289489557611E-3</v>
      </c>
      <c r="N54" s="52">
        <f t="shared" si="16"/>
        <v>3.2344681063486654E-3</v>
      </c>
      <c r="O54" s="107">
        <f t="shared" si="16"/>
        <v>4.393167826283787E-3</v>
      </c>
      <c r="P54" s="52">
        <f t="shared" si="16"/>
        <v>1.6762749164686514E-8</v>
      </c>
      <c r="Q54" s="108">
        <f t="shared" si="16"/>
        <v>0</v>
      </c>
      <c r="R54" s="52">
        <f t="shared" si="12"/>
        <v>2.2008740924551093E-3</v>
      </c>
      <c r="S54" s="52"/>
      <c r="T54" s="52">
        <f t="shared" si="13"/>
        <v>0</v>
      </c>
    </row>
    <row r="55" spans="2:20" x14ac:dyDescent="0.35">
      <c r="B55" s="26" t="s">
        <v>223</v>
      </c>
      <c r="C55" s="80">
        <f t="shared" ref="C55:Q55" si="17">IFERROR(C11/C$11,0)</f>
        <v>1</v>
      </c>
      <c r="D55" s="80">
        <f t="shared" si="17"/>
        <v>1</v>
      </c>
      <c r="E55" s="80">
        <f t="shared" si="17"/>
        <v>1</v>
      </c>
      <c r="F55" s="80">
        <f t="shared" si="17"/>
        <v>1</v>
      </c>
      <c r="G55" s="80">
        <f t="shared" si="17"/>
        <v>1</v>
      </c>
      <c r="H55" s="80">
        <f t="shared" si="17"/>
        <v>1</v>
      </c>
      <c r="I55" s="80">
        <f t="shared" si="17"/>
        <v>1</v>
      </c>
      <c r="J55" s="80">
        <f t="shared" si="17"/>
        <v>1</v>
      </c>
      <c r="K55" s="80">
        <f t="shared" si="17"/>
        <v>1</v>
      </c>
      <c r="L55" s="80">
        <f t="shared" si="17"/>
        <v>1</v>
      </c>
      <c r="M55" s="80">
        <f t="shared" si="17"/>
        <v>1</v>
      </c>
      <c r="N55" s="80">
        <f t="shared" si="17"/>
        <v>1</v>
      </c>
      <c r="O55" s="80">
        <f t="shared" si="17"/>
        <v>1</v>
      </c>
      <c r="P55" s="80">
        <f t="shared" si="17"/>
        <v>1</v>
      </c>
      <c r="Q55" s="80">
        <f t="shared" si="17"/>
        <v>0</v>
      </c>
      <c r="R55" s="80">
        <f t="shared" si="12"/>
        <v>1</v>
      </c>
      <c r="S55" s="80"/>
      <c r="T55" s="80">
        <f t="shared" si="13"/>
        <v>0</v>
      </c>
    </row>
    <row r="56" spans="2:20" x14ac:dyDescent="0.35">
      <c r="C56" s="39">
        <f t="shared" ref="C56:Q56" si="18">IFERROR(C12/C$11,0)</f>
        <v>0</v>
      </c>
      <c r="D56" s="39">
        <f t="shared" si="18"/>
        <v>0</v>
      </c>
      <c r="E56" s="39">
        <f t="shared" si="18"/>
        <v>0</v>
      </c>
      <c r="F56" s="39">
        <f t="shared" si="18"/>
        <v>0</v>
      </c>
      <c r="G56" s="39">
        <f t="shared" si="18"/>
        <v>0</v>
      </c>
      <c r="H56" s="39">
        <f t="shared" si="18"/>
        <v>0</v>
      </c>
      <c r="I56" s="39">
        <f t="shared" si="18"/>
        <v>0</v>
      </c>
      <c r="J56" s="39">
        <f t="shared" si="18"/>
        <v>0</v>
      </c>
      <c r="K56" s="39">
        <f t="shared" si="18"/>
        <v>0</v>
      </c>
      <c r="L56" s="39">
        <f t="shared" si="18"/>
        <v>0</v>
      </c>
      <c r="M56" s="39">
        <f t="shared" si="18"/>
        <v>0</v>
      </c>
      <c r="N56" s="39">
        <f t="shared" si="18"/>
        <v>0</v>
      </c>
      <c r="O56" s="96">
        <f t="shared" si="18"/>
        <v>0</v>
      </c>
      <c r="P56" s="39">
        <f t="shared" si="18"/>
        <v>0</v>
      </c>
      <c r="Q56" s="102">
        <f t="shared" si="18"/>
        <v>0</v>
      </c>
      <c r="R56" s="39">
        <f t="shared" si="12"/>
        <v>0</v>
      </c>
      <c r="S56" s="39"/>
      <c r="T56" s="39">
        <f t="shared" si="13"/>
        <v>0</v>
      </c>
    </row>
    <row r="57" spans="2:20" x14ac:dyDescent="0.35">
      <c r="B57" s="12" t="s">
        <v>268</v>
      </c>
      <c r="C57" s="51">
        <f t="shared" ref="C57:Q57" si="19">IFERROR(C13/C$11,0)</f>
        <v>0.25958888429284216</v>
      </c>
      <c r="D57" s="51">
        <f t="shared" si="19"/>
        <v>0.44509602163893253</v>
      </c>
      <c r="E57" s="51">
        <f t="shared" si="19"/>
        <v>0.42075647565675045</v>
      </c>
      <c r="F57" s="51">
        <f t="shared" si="19"/>
        <v>0.4143670792884655</v>
      </c>
      <c r="G57" s="51">
        <f t="shared" si="19"/>
        <v>0.35971774169412163</v>
      </c>
      <c r="H57" s="51">
        <f t="shared" si="19"/>
        <v>0.41571397596482862</v>
      </c>
      <c r="I57" s="51">
        <f t="shared" si="19"/>
        <v>0.47963760413122059</v>
      </c>
      <c r="J57" s="51">
        <f t="shared" si="19"/>
        <v>0.45152845606834652</v>
      </c>
      <c r="K57" s="51">
        <f t="shared" si="19"/>
        <v>0.50246944490181988</v>
      </c>
      <c r="L57" s="51">
        <f t="shared" si="19"/>
        <v>0.43725129281709141</v>
      </c>
      <c r="M57" s="51">
        <f t="shared" si="19"/>
        <v>0.47846520837607243</v>
      </c>
      <c r="N57" s="51">
        <f t="shared" si="19"/>
        <v>0.52681885299828723</v>
      </c>
      <c r="O57" s="99">
        <f t="shared" si="19"/>
        <v>0.43532366670443284</v>
      </c>
      <c r="P57" s="51">
        <f t="shared" si="19"/>
        <v>0.44004179112400282</v>
      </c>
      <c r="Q57" s="104">
        <f t="shared" si="19"/>
        <v>0</v>
      </c>
      <c r="R57" s="51">
        <f t="shared" si="12"/>
        <v>0.51232574082148175</v>
      </c>
      <c r="S57" s="51"/>
      <c r="T57" s="51">
        <f t="shared" si="13"/>
        <v>0</v>
      </c>
    </row>
    <row r="58" spans="2:20" x14ac:dyDescent="0.35">
      <c r="B58" s="12" t="s">
        <v>205</v>
      </c>
      <c r="C58" s="51">
        <f t="shared" ref="C58:Q58" si="20">IFERROR(C14/C$11,0)</f>
        <v>0.36881451952521588</v>
      </c>
      <c r="D58" s="51">
        <f t="shared" si="20"/>
        <v>0.44874119833775328</v>
      </c>
      <c r="E58" s="51">
        <f t="shared" si="20"/>
        <v>0.39814795538442316</v>
      </c>
      <c r="F58" s="51">
        <f t="shared" si="20"/>
        <v>0.3799351558713937</v>
      </c>
      <c r="G58" s="51">
        <f t="shared" si="20"/>
        <v>0.39071024175992097</v>
      </c>
      <c r="H58" s="51">
        <f t="shared" si="20"/>
        <v>0.36926018355636914</v>
      </c>
      <c r="I58" s="51">
        <f t="shared" si="20"/>
        <v>0.34249424248640115</v>
      </c>
      <c r="J58" s="51">
        <f t="shared" si="20"/>
        <v>0.37420722209602109</v>
      </c>
      <c r="K58" s="51">
        <f t="shared" si="20"/>
        <v>0.28846063106758674</v>
      </c>
      <c r="L58" s="51">
        <f t="shared" si="20"/>
        <v>0.32594089681876165</v>
      </c>
      <c r="M58" s="51">
        <f t="shared" si="20"/>
        <v>0.32365561285222239</v>
      </c>
      <c r="N58" s="51">
        <f t="shared" si="20"/>
        <v>0.34019920987506452</v>
      </c>
      <c r="O58" s="99">
        <f t="shared" si="20"/>
        <v>0.35857093992983541</v>
      </c>
      <c r="P58" s="51">
        <f t="shared" si="20"/>
        <v>0.33033258869775084</v>
      </c>
      <c r="Q58" s="104">
        <f t="shared" si="20"/>
        <v>0</v>
      </c>
      <c r="R58" s="51">
        <f t="shared" si="12"/>
        <v>0.34550371890802473</v>
      </c>
      <c r="S58" s="51"/>
      <c r="T58" s="51">
        <f t="shared" si="13"/>
        <v>0</v>
      </c>
    </row>
    <row r="59" spans="2:20" x14ac:dyDescent="0.35">
      <c r="B59" s="12" t="s">
        <v>272</v>
      </c>
      <c r="C59" s="51">
        <f t="shared" ref="C59:Q59" si="21">IFERROR(C15/C$11,0)</f>
        <v>0.18554815017805243</v>
      </c>
      <c r="D59" s="51">
        <f t="shared" si="21"/>
        <v>0.25640566079509974</v>
      </c>
      <c r="E59" s="51">
        <f t="shared" si="21"/>
        <v>0.23603627325364726</v>
      </c>
      <c r="F59" s="51">
        <f t="shared" si="21"/>
        <v>0.19492506602673457</v>
      </c>
      <c r="G59" s="51">
        <f t="shared" si="21"/>
        <v>0.20641993051948318</v>
      </c>
      <c r="H59" s="51">
        <f t="shared" si="21"/>
        <v>0.18598039810897693</v>
      </c>
      <c r="I59" s="51">
        <f t="shared" si="21"/>
        <v>0.20299934072714315</v>
      </c>
      <c r="J59" s="51">
        <f t="shared" si="21"/>
        <v>0.21394738904435037</v>
      </c>
      <c r="K59" s="51">
        <f t="shared" si="21"/>
        <v>0.17320063925697152</v>
      </c>
      <c r="L59" s="51">
        <f t="shared" si="21"/>
        <v>0.22561919067302699</v>
      </c>
      <c r="M59" s="51">
        <f t="shared" si="21"/>
        <v>0.19085771091101605</v>
      </c>
      <c r="N59" s="51">
        <f t="shared" si="21"/>
        <v>0.21230287731548933</v>
      </c>
      <c r="O59" s="99">
        <f t="shared" si="21"/>
        <v>0.20464093202739694</v>
      </c>
      <c r="P59" s="51">
        <f t="shared" si="21"/>
        <v>0.27733188938642722</v>
      </c>
      <c r="Q59" s="104">
        <f t="shared" si="21"/>
        <v>0</v>
      </c>
      <c r="R59" s="51">
        <f t="shared" si="12"/>
        <v>0.20446044863750773</v>
      </c>
      <c r="S59" s="51"/>
      <c r="T59" s="51">
        <f t="shared" si="13"/>
        <v>0</v>
      </c>
    </row>
    <row r="60" spans="2:20" x14ac:dyDescent="0.35">
      <c r="B60" s="12" t="s">
        <v>206</v>
      </c>
      <c r="C60" s="51">
        <f t="shared" ref="C60:Q60" si="22">IFERROR(C16/C$11,0)</f>
        <v>0</v>
      </c>
      <c r="D60" s="51">
        <f t="shared" si="22"/>
        <v>0</v>
      </c>
      <c r="E60" s="51">
        <f t="shared" si="22"/>
        <v>0</v>
      </c>
      <c r="F60" s="51">
        <f t="shared" si="22"/>
        <v>0</v>
      </c>
      <c r="G60" s="51">
        <f t="shared" si="22"/>
        <v>0</v>
      </c>
      <c r="H60" s="51">
        <f t="shared" si="22"/>
        <v>0</v>
      </c>
      <c r="I60" s="51">
        <f t="shared" si="22"/>
        <v>0</v>
      </c>
      <c r="J60" s="51">
        <f t="shared" si="22"/>
        <v>0</v>
      </c>
      <c r="K60" s="51">
        <f t="shared" si="22"/>
        <v>0</v>
      </c>
      <c r="L60" s="51">
        <f t="shared" si="22"/>
        <v>1.3219979937358448E-3</v>
      </c>
      <c r="M60" s="51">
        <f t="shared" si="22"/>
        <v>0</v>
      </c>
      <c r="N60" s="51">
        <f t="shared" si="22"/>
        <v>0</v>
      </c>
      <c r="O60" s="99">
        <f t="shared" si="22"/>
        <v>1.0456670209626339E-4</v>
      </c>
      <c r="P60" s="51">
        <f t="shared" si="22"/>
        <v>0</v>
      </c>
      <c r="Q60" s="104">
        <f t="shared" si="22"/>
        <v>0</v>
      </c>
      <c r="R60" s="51">
        <f t="shared" si="12"/>
        <v>4.9068239278874314E-4</v>
      </c>
      <c r="S60" s="51"/>
      <c r="T60" s="51">
        <f t="shared" si="13"/>
        <v>0</v>
      </c>
    </row>
    <row r="61" spans="2:20" x14ac:dyDescent="0.35">
      <c r="B61" s="12" t="s">
        <v>278</v>
      </c>
      <c r="C61" s="51">
        <f t="shared" ref="C61:Q61" si="23">IFERROR(C17/C$11,0)</f>
        <v>5.5096955569882561E-2</v>
      </c>
      <c r="D61" s="51">
        <f t="shared" si="23"/>
        <v>6.9684303225870464E-2</v>
      </c>
      <c r="E61" s="51">
        <f t="shared" si="23"/>
        <v>5.1823792767135883E-2</v>
      </c>
      <c r="F61" s="51">
        <f t="shared" si="23"/>
        <v>4.8866066164507331E-2</v>
      </c>
      <c r="G61" s="51">
        <f t="shared" si="23"/>
        <v>4.7755857410476027E-2</v>
      </c>
      <c r="H61" s="51">
        <f t="shared" si="23"/>
        <v>4.4607984879190453E-2</v>
      </c>
      <c r="I61" s="51">
        <f t="shared" si="23"/>
        <v>4.7045327209125049E-2</v>
      </c>
      <c r="J61" s="51">
        <f t="shared" si="23"/>
        <v>5.3442209763847351E-2</v>
      </c>
      <c r="K61" s="51">
        <f t="shared" si="23"/>
        <v>3.7082132665243656E-2</v>
      </c>
      <c r="L61" s="51">
        <f t="shared" si="23"/>
        <v>4.9551305067606098E-2</v>
      </c>
      <c r="M61" s="51">
        <f t="shared" si="23"/>
        <v>4.08299250965189E-2</v>
      </c>
      <c r="N61" s="51">
        <f t="shared" si="23"/>
        <v>4.6757871806884191E-2</v>
      </c>
      <c r="O61" s="99">
        <f t="shared" si="23"/>
        <v>4.8544243203102869E-2</v>
      </c>
      <c r="P61" s="51">
        <f t="shared" si="23"/>
        <v>3.9040825817920011E-2</v>
      </c>
      <c r="Q61" s="104">
        <f t="shared" si="23"/>
        <v>0</v>
      </c>
      <c r="R61" s="51">
        <f t="shared" si="12"/>
        <v>5.2277318483792454E-2</v>
      </c>
      <c r="S61" s="51"/>
      <c r="T61" s="51">
        <f t="shared" si="13"/>
        <v>0</v>
      </c>
    </row>
    <row r="62" spans="2:20" x14ac:dyDescent="0.35">
      <c r="B62" s="12" t="s">
        <v>288</v>
      </c>
      <c r="C62" s="51">
        <f t="shared" ref="C62:Q62" si="24">IFERROR(C18/C$11,0)</f>
        <v>0.32782173051274871</v>
      </c>
      <c r="D62" s="51">
        <f t="shared" si="24"/>
        <v>0.40187130528635895</v>
      </c>
      <c r="E62" s="51">
        <f t="shared" si="24"/>
        <v>0.37208652273626114</v>
      </c>
      <c r="F62" s="51">
        <f t="shared" si="24"/>
        <v>0.29747603467842737</v>
      </c>
      <c r="G62" s="51">
        <f t="shared" si="24"/>
        <v>0.31726250460893374</v>
      </c>
      <c r="H62" s="51">
        <f t="shared" si="24"/>
        <v>0.29058403528122367</v>
      </c>
      <c r="I62" s="51">
        <f t="shared" si="24"/>
        <v>0.30615212127411295</v>
      </c>
      <c r="J62" s="51">
        <f t="shared" si="24"/>
        <v>0.37149436777608014</v>
      </c>
      <c r="K62" s="51">
        <f t="shared" si="24"/>
        <v>0.28815536560477151</v>
      </c>
      <c r="L62" s="51">
        <f t="shared" si="24"/>
        <v>0.37376501679554391</v>
      </c>
      <c r="M62" s="51">
        <f t="shared" si="24"/>
        <v>0.31617206992943858</v>
      </c>
      <c r="N62" s="51">
        <f t="shared" si="24"/>
        <v>0.35840369629822832</v>
      </c>
      <c r="O62" s="99">
        <f t="shared" si="24"/>
        <v>0.33132837194502857</v>
      </c>
      <c r="P62" s="51">
        <f t="shared" si="24"/>
        <v>0.24666970761680052</v>
      </c>
      <c r="Q62" s="104">
        <f t="shared" si="24"/>
        <v>0</v>
      </c>
      <c r="R62" s="51">
        <f t="shared" si="12"/>
        <v>0.34682335686397481</v>
      </c>
      <c r="S62" s="51"/>
      <c r="T62" s="51">
        <f t="shared" si="13"/>
        <v>0</v>
      </c>
    </row>
    <row r="63" spans="2:20" x14ac:dyDescent="0.35">
      <c r="B63" s="12" t="s">
        <v>289</v>
      </c>
      <c r="C63" s="51">
        <f t="shared" ref="C63:Q63" si="25">IFERROR(C19/C$11,0)</f>
        <v>0</v>
      </c>
      <c r="D63" s="51">
        <f t="shared" si="25"/>
        <v>4.6404761717227256E-3</v>
      </c>
      <c r="E63" s="51">
        <f t="shared" si="25"/>
        <v>5.1159804793355419E-2</v>
      </c>
      <c r="F63" s="51">
        <f t="shared" si="25"/>
        <v>3.157399490200629E-2</v>
      </c>
      <c r="G63" s="51">
        <f t="shared" si="25"/>
        <v>4.6915872951720705E-3</v>
      </c>
      <c r="H63" s="51">
        <f t="shared" si="25"/>
        <v>9.9086234869023935E-3</v>
      </c>
      <c r="I63" s="51">
        <f t="shared" si="25"/>
        <v>1.0433398775831684E-2</v>
      </c>
      <c r="J63" s="51">
        <f t="shared" si="25"/>
        <v>4.9763015232340134E-2</v>
      </c>
      <c r="K63" s="51">
        <f t="shared" si="25"/>
        <v>8.017839280449442E-3</v>
      </c>
      <c r="L63" s="51">
        <f t="shared" si="25"/>
        <v>3.3720988974360475E-2</v>
      </c>
      <c r="M63" s="51">
        <f t="shared" si="25"/>
        <v>1.7794005572600673E-2</v>
      </c>
      <c r="N63" s="51">
        <f t="shared" si="25"/>
        <v>0.11972067916324168</v>
      </c>
      <c r="O63" s="99">
        <f t="shared" si="25"/>
        <v>2.7861651937855524E-2</v>
      </c>
      <c r="P63" s="51">
        <f t="shared" si="25"/>
        <v>3.0313888578329212E-2</v>
      </c>
      <c r="Q63" s="104">
        <f t="shared" si="25"/>
        <v>0</v>
      </c>
      <c r="R63" s="51">
        <f t="shared" si="12"/>
        <v>0.10204175756885114</v>
      </c>
      <c r="S63" s="51"/>
      <c r="T63" s="51">
        <f t="shared" si="13"/>
        <v>0</v>
      </c>
    </row>
    <row r="64" spans="2:20" x14ac:dyDescent="0.35">
      <c r="B64" s="12" t="s">
        <v>534</v>
      </c>
      <c r="C64" s="51">
        <f t="shared" ref="C64:Q64" si="26">IFERROR(C20/C$11,0)</f>
        <v>3.1600862471646923E-2</v>
      </c>
      <c r="D64" s="51">
        <f t="shared" si="26"/>
        <v>4.2838032343949853E-2</v>
      </c>
      <c r="E64" s="51">
        <f t="shared" si="26"/>
        <v>3.4546559588466572E-2</v>
      </c>
      <c r="F64" s="51">
        <f t="shared" si="26"/>
        <v>3.6939659215815206E-2</v>
      </c>
      <c r="G64" s="51">
        <f t="shared" si="26"/>
        <v>3.8348249384882481E-2</v>
      </c>
      <c r="H64" s="51">
        <f t="shared" si="26"/>
        <v>3.0899886259617978E-2</v>
      </c>
      <c r="I64" s="51">
        <f t="shared" si="26"/>
        <v>3.1149184594795487E-2</v>
      </c>
      <c r="J64" s="51">
        <f t="shared" si="26"/>
        <v>3.482348294907555E-2</v>
      </c>
      <c r="K64" s="51">
        <f t="shared" si="26"/>
        <v>2.6752221073467156E-2</v>
      </c>
      <c r="L64" s="51">
        <f t="shared" si="26"/>
        <v>5.2829155026474332E-2</v>
      </c>
      <c r="M64" s="51">
        <f t="shared" si="26"/>
        <v>3.2677717448300017E-2</v>
      </c>
      <c r="N64" s="51">
        <f t="shared" si="26"/>
        <v>5.7270431221655448E-2</v>
      </c>
      <c r="O64" s="99">
        <f t="shared" si="26"/>
        <v>3.7107090344999864E-2</v>
      </c>
      <c r="P64" s="51">
        <f t="shared" si="26"/>
        <v>3.0524937142926492E-2</v>
      </c>
      <c r="Q64" s="104">
        <f t="shared" si="26"/>
        <v>0</v>
      </c>
      <c r="R64" s="51">
        <f t="shared" si="12"/>
        <v>2.5912610041578334E-2</v>
      </c>
      <c r="S64" s="51"/>
      <c r="T64" s="51">
        <f t="shared" si="13"/>
        <v>0</v>
      </c>
    </row>
    <row r="65" spans="2:20" x14ac:dyDescent="0.35">
      <c r="B65" s="12" t="s">
        <v>535</v>
      </c>
      <c r="C65" s="51">
        <f t="shared" ref="C65:Q65" si="27">IFERROR(C21/C$11,0)</f>
        <v>1.2820545506926918E-2</v>
      </c>
      <c r="D65" s="51">
        <f t="shared" si="27"/>
        <v>1.5716497345350692E-2</v>
      </c>
      <c r="E65" s="51">
        <f t="shared" si="27"/>
        <v>1.455166559517908E-2</v>
      </c>
      <c r="F65" s="51">
        <f t="shared" si="27"/>
        <v>1.1628759959439055E-2</v>
      </c>
      <c r="G65" s="51">
        <f t="shared" si="27"/>
        <v>6.9687725647932918E-3</v>
      </c>
      <c r="H65" s="51">
        <f t="shared" si="27"/>
        <v>1.1306739523048831E-2</v>
      </c>
      <c r="I65" s="51">
        <f t="shared" si="27"/>
        <v>1.109669960093604E-2</v>
      </c>
      <c r="J65" s="51">
        <f t="shared" si="27"/>
        <v>1.2703851124804778E-2</v>
      </c>
      <c r="K65" s="51">
        <f t="shared" si="27"/>
        <v>9.8260810219028862E-3</v>
      </c>
      <c r="L65" s="51">
        <f t="shared" si="27"/>
        <v>1.2781429136236476E-2</v>
      </c>
      <c r="M65" s="51">
        <f t="shared" si="27"/>
        <v>1.081195597519201E-2</v>
      </c>
      <c r="N65" s="51">
        <f t="shared" si="27"/>
        <v>2.2210182476866493E-2</v>
      </c>
      <c r="O65" s="99">
        <f t="shared" si="27"/>
        <v>1.2522119113003351E-2</v>
      </c>
      <c r="P65" s="51">
        <f t="shared" si="27"/>
        <v>1.5052628368455438E-2</v>
      </c>
      <c r="Q65" s="104">
        <f t="shared" si="27"/>
        <v>0</v>
      </c>
      <c r="R65" s="51">
        <f t="shared" si="12"/>
        <v>2.0021150112161493E-2</v>
      </c>
      <c r="S65" s="51"/>
      <c r="T65" s="51">
        <f t="shared" si="13"/>
        <v>0</v>
      </c>
    </row>
    <row r="66" spans="2:20" x14ac:dyDescent="0.35">
      <c r="B66" s="12" t="s">
        <v>310</v>
      </c>
      <c r="C66" s="51">
        <f t="shared" ref="C66:Q66" si="28">IFERROR(C22/C$11,0)</f>
        <v>0</v>
      </c>
      <c r="D66" s="51">
        <f t="shared" si="28"/>
        <v>4.1324296445616766E-3</v>
      </c>
      <c r="E66" s="51">
        <f t="shared" si="28"/>
        <v>1.7459108930667749E-3</v>
      </c>
      <c r="F66" s="51">
        <f t="shared" si="28"/>
        <v>8.0707879208783365E-3</v>
      </c>
      <c r="G66" s="51">
        <f t="shared" si="28"/>
        <v>4.1883456940207302E-3</v>
      </c>
      <c r="H66" s="51">
        <f t="shared" si="28"/>
        <v>0</v>
      </c>
      <c r="I66" s="51">
        <f t="shared" si="28"/>
        <v>1.3689608391134957E-2</v>
      </c>
      <c r="J66" s="51">
        <f t="shared" si="28"/>
        <v>2.2333931043381728E-3</v>
      </c>
      <c r="K66" s="51">
        <f t="shared" si="28"/>
        <v>1.9971422950795007E-3</v>
      </c>
      <c r="L66" s="51">
        <f t="shared" si="28"/>
        <v>7.248426866454054E-3</v>
      </c>
      <c r="M66" s="51">
        <f t="shared" si="28"/>
        <v>1.7139303109377599E-2</v>
      </c>
      <c r="N66" s="51">
        <f t="shared" si="28"/>
        <v>2.8450405676554076E-3</v>
      </c>
      <c r="O66" s="99">
        <f t="shared" si="28"/>
        <v>5.4740710374074726E-3</v>
      </c>
      <c r="P66" s="51">
        <f t="shared" si="28"/>
        <v>7.342374741576712E-3</v>
      </c>
      <c r="Q66" s="104">
        <f t="shared" si="28"/>
        <v>0</v>
      </c>
      <c r="R66" s="51">
        <f t="shared" si="12"/>
        <v>0</v>
      </c>
      <c r="S66" s="51"/>
      <c r="T66" s="51">
        <f t="shared" si="13"/>
        <v>0</v>
      </c>
    </row>
    <row r="67" spans="2:20" x14ac:dyDescent="0.35">
      <c r="B67" s="12" t="s">
        <v>207</v>
      </c>
      <c r="C67" s="51">
        <f t="shared" ref="C67:Q67" si="29">IFERROR(C23/C$11,0)</f>
        <v>5.2076393888049631E-3</v>
      </c>
      <c r="D67" s="51">
        <f t="shared" si="29"/>
        <v>0</v>
      </c>
      <c r="E67" s="51">
        <f t="shared" si="29"/>
        <v>6.2888914444743215E-3</v>
      </c>
      <c r="F67" s="51">
        <f t="shared" si="29"/>
        <v>0</v>
      </c>
      <c r="G67" s="51">
        <f t="shared" si="29"/>
        <v>0</v>
      </c>
      <c r="H67" s="51">
        <f t="shared" si="29"/>
        <v>2.4159539909052605E-2</v>
      </c>
      <c r="I67" s="51">
        <f t="shared" si="29"/>
        <v>6.1804321482003554E-4</v>
      </c>
      <c r="J67" s="51">
        <f t="shared" si="29"/>
        <v>1.0336538528079085E-3</v>
      </c>
      <c r="K67" s="51">
        <f t="shared" si="29"/>
        <v>5.4727769720761129E-4</v>
      </c>
      <c r="L67" s="51">
        <f t="shared" si="29"/>
        <v>-1.3973578724363594E-2</v>
      </c>
      <c r="M67" s="51">
        <f t="shared" si="29"/>
        <v>2.3792297196478839E-3</v>
      </c>
      <c r="N67" s="51">
        <f t="shared" si="29"/>
        <v>2.7651137601241238E-3</v>
      </c>
      <c r="O67" s="99">
        <f t="shared" si="29"/>
        <v>2.549131246370794E-3</v>
      </c>
      <c r="P67" s="51">
        <f t="shared" si="29"/>
        <v>1.7427136119584337E-3</v>
      </c>
      <c r="Q67" s="104">
        <f t="shared" si="29"/>
        <v>0</v>
      </c>
      <c r="R67" s="51">
        <f t="shared" si="12"/>
        <v>2.4373830057792837E-3</v>
      </c>
      <c r="S67" s="51"/>
      <c r="T67" s="51">
        <f t="shared" si="13"/>
        <v>0</v>
      </c>
    </row>
    <row r="68" spans="2:20" x14ac:dyDescent="0.35">
      <c r="B68" s="12" t="s">
        <v>301</v>
      </c>
      <c r="C68" s="51">
        <f t="shared" ref="C68:Q68" si="30">IFERROR(C24/C$11,0)</f>
        <v>2.2914037644772294E-3</v>
      </c>
      <c r="D68" s="51">
        <f t="shared" si="30"/>
        <v>1.4001623572783189E-4</v>
      </c>
      <c r="E68" s="51">
        <f t="shared" si="30"/>
        <v>2.3795561396022166E-3</v>
      </c>
      <c r="F68" s="51">
        <f t="shared" si="30"/>
        <v>7.3770266732981653E-6</v>
      </c>
      <c r="G68" s="51">
        <f t="shared" si="30"/>
        <v>6.8097645622644182E-5</v>
      </c>
      <c r="H68" s="51">
        <f t="shared" si="30"/>
        <v>1.8489205142093149E-3</v>
      </c>
      <c r="I68" s="51">
        <f t="shared" si="30"/>
        <v>6.0485799908291122E-4</v>
      </c>
      <c r="J68" s="51">
        <f t="shared" si="30"/>
        <v>6.9246048359716242E-4</v>
      </c>
      <c r="K68" s="51">
        <f t="shared" si="30"/>
        <v>5.3560217948851437E-4</v>
      </c>
      <c r="L68" s="51">
        <f t="shared" si="30"/>
        <v>7.3194622253174599E-4</v>
      </c>
      <c r="M68" s="51">
        <f t="shared" si="30"/>
        <v>5.8934046767357699E-4</v>
      </c>
      <c r="N68" s="51">
        <f t="shared" si="30"/>
        <v>2.5982854238590534E-3</v>
      </c>
      <c r="O68" s="99">
        <f t="shared" si="30"/>
        <v>1.0203200523744996E-3</v>
      </c>
      <c r="P68" s="51">
        <f t="shared" si="30"/>
        <v>1.0083680658869744E-3</v>
      </c>
      <c r="Q68" s="104">
        <f t="shared" si="30"/>
        <v>0</v>
      </c>
      <c r="R68" s="51">
        <f t="shared" si="12"/>
        <v>8.0067099443303161E-3</v>
      </c>
      <c r="S68" s="51"/>
      <c r="T68" s="51">
        <f t="shared" si="13"/>
        <v>0</v>
      </c>
    </row>
    <row r="69" spans="2:20" x14ac:dyDescent="0.35">
      <c r="B69" s="12" t="s">
        <v>302</v>
      </c>
      <c r="C69" s="51">
        <f t="shared" ref="C69:Q69" si="31">IFERROR(C25/C$11,0)</f>
        <v>0</v>
      </c>
      <c r="D69" s="51">
        <f t="shared" si="31"/>
        <v>0</v>
      </c>
      <c r="E69" s="51">
        <f t="shared" si="31"/>
        <v>0</v>
      </c>
      <c r="F69" s="51">
        <f t="shared" si="31"/>
        <v>0</v>
      </c>
      <c r="G69" s="51">
        <f t="shared" si="31"/>
        <v>8.3419615887739133E-4</v>
      </c>
      <c r="H69" s="51">
        <f t="shared" si="31"/>
        <v>0</v>
      </c>
      <c r="I69" s="51">
        <f t="shared" si="31"/>
        <v>6.1212700729453388E-3</v>
      </c>
      <c r="J69" s="51">
        <f t="shared" si="31"/>
        <v>8.6371415158355749E-3</v>
      </c>
      <c r="K69" s="51">
        <f t="shared" si="31"/>
        <v>0</v>
      </c>
      <c r="L69" s="51">
        <f t="shared" si="31"/>
        <v>1.6921574319818814E-3</v>
      </c>
      <c r="M69" s="51">
        <f t="shared" si="31"/>
        <v>1.1928459813759942E-2</v>
      </c>
      <c r="N69" s="51">
        <f t="shared" si="31"/>
        <v>0</v>
      </c>
      <c r="O69" s="99">
        <f t="shared" si="31"/>
        <v>2.5625813127057614E-3</v>
      </c>
      <c r="P69" s="51">
        <f t="shared" si="31"/>
        <v>1.7185268669385769E-2</v>
      </c>
      <c r="Q69" s="104">
        <f t="shared" si="31"/>
        <v>0</v>
      </c>
      <c r="R69" s="51">
        <f t="shared" si="12"/>
        <v>6.5424319038499094E-3</v>
      </c>
      <c r="S69" s="51"/>
      <c r="T69" s="51">
        <f t="shared" si="13"/>
        <v>0</v>
      </c>
    </row>
    <row r="70" spans="2:20" x14ac:dyDescent="0.35">
      <c r="B70" s="12" t="s">
        <v>307</v>
      </c>
      <c r="C70" s="51">
        <f t="shared" ref="C70:Q70" si="32">IFERROR(C26/C$11,0)</f>
        <v>0</v>
      </c>
      <c r="D70" s="51">
        <f t="shared" si="32"/>
        <v>0</v>
      </c>
      <c r="E70" s="51">
        <f t="shared" si="32"/>
        <v>0</v>
      </c>
      <c r="F70" s="51">
        <f t="shared" si="32"/>
        <v>0</v>
      </c>
      <c r="G70" s="51">
        <f t="shared" si="32"/>
        <v>0</v>
      </c>
      <c r="H70" s="51">
        <f t="shared" si="32"/>
        <v>0</v>
      </c>
      <c r="I70" s="51">
        <f t="shared" si="32"/>
        <v>0</v>
      </c>
      <c r="J70" s="51">
        <f t="shared" si="32"/>
        <v>0</v>
      </c>
      <c r="K70" s="51">
        <f t="shared" si="32"/>
        <v>0</v>
      </c>
      <c r="L70" s="51">
        <f t="shared" si="32"/>
        <v>0</v>
      </c>
      <c r="M70" s="51">
        <f t="shared" si="32"/>
        <v>0</v>
      </c>
      <c r="N70" s="51">
        <f t="shared" si="32"/>
        <v>0</v>
      </c>
      <c r="O70" s="99">
        <f t="shared" si="32"/>
        <v>0</v>
      </c>
      <c r="P70" s="51">
        <f t="shared" si="32"/>
        <v>0</v>
      </c>
      <c r="Q70" s="104">
        <f t="shared" si="32"/>
        <v>0</v>
      </c>
      <c r="R70" s="51">
        <f t="shared" si="12"/>
        <v>0</v>
      </c>
      <c r="S70" s="51"/>
      <c r="T70" s="51">
        <f t="shared" si="13"/>
        <v>0</v>
      </c>
    </row>
    <row r="71" spans="2:20" x14ac:dyDescent="0.35">
      <c r="B71" s="12" t="s">
        <v>308</v>
      </c>
      <c r="C71" s="51">
        <f t="shared" ref="C71:Q71" si="33">IFERROR(C27/C$11,0)</f>
        <v>0</v>
      </c>
      <c r="D71" s="51">
        <f t="shared" si="33"/>
        <v>0</v>
      </c>
      <c r="E71" s="51">
        <f t="shared" si="33"/>
        <v>0</v>
      </c>
      <c r="F71" s="51">
        <f t="shared" si="33"/>
        <v>0</v>
      </c>
      <c r="G71" s="51">
        <f t="shared" si="33"/>
        <v>0</v>
      </c>
      <c r="H71" s="51">
        <f t="shared" si="33"/>
        <v>0</v>
      </c>
      <c r="I71" s="51">
        <f t="shared" si="33"/>
        <v>0</v>
      </c>
      <c r="J71" s="51">
        <f t="shared" si="33"/>
        <v>0</v>
      </c>
      <c r="K71" s="51">
        <f t="shared" si="33"/>
        <v>0</v>
      </c>
      <c r="L71" s="51">
        <f t="shared" si="33"/>
        <v>0</v>
      </c>
      <c r="M71" s="51">
        <f t="shared" si="33"/>
        <v>0</v>
      </c>
      <c r="N71" s="51">
        <f t="shared" si="33"/>
        <v>0</v>
      </c>
      <c r="O71" s="99">
        <f t="shared" si="33"/>
        <v>0</v>
      </c>
      <c r="P71" s="51">
        <f t="shared" si="33"/>
        <v>0</v>
      </c>
      <c r="Q71" s="104">
        <f t="shared" si="33"/>
        <v>0</v>
      </c>
      <c r="R71" s="51">
        <f t="shared" si="12"/>
        <v>0</v>
      </c>
      <c r="S71" s="51"/>
      <c r="T71" s="51">
        <f t="shared" si="13"/>
        <v>0</v>
      </c>
    </row>
    <row r="72" spans="2:20" x14ac:dyDescent="0.35">
      <c r="B72" s="12" t="s">
        <v>311</v>
      </c>
      <c r="C72" s="51">
        <f t="shared" ref="C72:Q72" si="34">IFERROR(C28/C$11,0)</f>
        <v>0</v>
      </c>
      <c r="D72" s="51">
        <f t="shared" si="34"/>
        <v>0</v>
      </c>
      <c r="E72" s="51">
        <f t="shared" si="34"/>
        <v>0</v>
      </c>
      <c r="F72" s="51">
        <f t="shared" si="34"/>
        <v>6.0921410709837108E-3</v>
      </c>
      <c r="G72" s="51">
        <f t="shared" si="34"/>
        <v>3.5945342241912731E-3</v>
      </c>
      <c r="H72" s="51">
        <f t="shared" si="34"/>
        <v>0</v>
      </c>
      <c r="I72" s="51">
        <f t="shared" si="34"/>
        <v>0</v>
      </c>
      <c r="J72" s="51">
        <f t="shared" si="34"/>
        <v>6.0968057758839349E-4</v>
      </c>
      <c r="K72" s="51">
        <f t="shared" si="34"/>
        <v>0</v>
      </c>
      <c r="L72" s="51">
        <f t="shared" si="34"/>
        <v>1.762663991647793E-3</v>
      </c>
      <c r="M72" s="51">
        <f t="shared" si="34"/>
        <v>3.5785379441279819E-5</v>
      </c>
      <c r="N72" s="51">
        <f t="shared" si="34"/>
        <v>5.0141317805841761E-3</v>
      </c>
      <c r="O72" s="99">
        <f t="shared" si="34"/>
        <v>1.4310580582086222E-3</v>
      </c>
      <c r="P72" s="51">
        <f t="shared" si="34"/>
        <v>9.393755518248497E-4</v>
      </c>
      <c r="Q72" s="104">
        <f t="shared" si="34"/>
        <v>0</v>
      </c>
      <c r="R72" s="51">
        <f t="shared" si="12"/>
        <v>0</v>
      </c>
      <c r="S72" s="51"/>
      <c r="T72" s="51">
        <f t="shared" si="13"/>
        <v>0</v>
      </c>
    </row>
    <row r="73" spans="2:20" x14ac:dyDescent="0.35">
      <c r="B73" s="12" t="s">
        <v>317</v>
      </c>
      <c r="C73" s="51">
        <f t="shared" ref="C73:Q73" si="35">IFERROR(C29/C$11,0)</f>
        <v>0</v>
      </c>
      <c r="D73" s="51">
        <f t="shared" si="35"/>
        <v>3.7804383646514611E-3</v>
      </c>
      <c r="E73" s="51">
        <f t="shared" si="35"/>
        <v>3.5403862040786255E-3</v>
      </c>
      <c r="F73" s="51">
        <f t="shared" si="35"/>
        <v>9.430085270506058E-3</v>
      </c>
      <c r="G73" s="51">
        <f t="shared" si="35"/>
        <v>3.3224841299288096E-3</v>
      </c>
      <c r="H73" s="51">
        <f t="shared" si="35"/>
        <v>1.6013218733058387E-2</v>
      </c>
      <c r="I73" s="51">
        <f t="shared" si="35"/>
        <v>5.6064712598106357E-3</v>
      </c>
      <c r="J73" s="51">
        <f t="shared" si="35"/>
        <v>3.3350228376358218E-3</v>
      </c>
      <c r="K73" s="51">
        <f t="shared" si="35"/>
        <v>1.4314434061502779E-2</v>
      </c>
      <c r="L73" s="51">
        <f t="shared" si="35"/>
        <v>3.3413058625675566E-3</v>
      </c>
      <c r="M73" s="51">
        <f t="shared" si="35"/>
        <v>2.9516973809148974E-3</v>
      </c>
      <c r="N73" s="51">
        <f t="shared" si="35"/>
        <v>1.1278601720806981E-2</v>
      </c>
      <c r="O73" s="99">
        <f t="shared" si="35"/>
        <v>6.7373302116508745E-3</v>
      </c>
      <c r="P73" s="51">
        <f t="shared" si="35"/>
        <v>1.3893551706482652E-2</v>
      </c>
      <c r="Q73" s="104">
        <f t="shared" si="35"/>
        <v>0</v>
      </c>
      <c r="R73" s="51">
        <f t="shared" si="12"/>
        <v>8.269961048061476E-3</v>
      </c>
      <c r="S73" s="51"/>
      <c r="T73" s="51">
        <f t="shared" si="13"/>
        <v>0</v>
      </c>
    </row>
    <row r="74" spans="2:20" x14ac:dyDescent="0.35">
      <c r="B74" s="12" t="s">
        <v>325</v>
      </c>
      <c r="C74" s="51">
        <f t="shared" ref="C74:Q74" si="36">IFERROR(C30/C$11,0)</f>
        <v>0</v>
      </c>
      <c r="D74" s="51">
        <f t="shared" si="36"/>
        <v>1.239728893368503E-2</v>
      </c>
      <c r="E74" s="51">
        <f t="shared" si="36"/>
        <v>0</v>
      </c>
      <c r="F74" s="51">
        <f t="shared" si="36"/>
        <v>9.9698911788173982E-3</v>
      </c>
      <c r="G74" s="51">
        <f t="shared" si="36"/>
        <v>8.5397852493076937E-3</v>
      </c>
      <c r="H74" s="51">
        <f t="shared" si="36"/>
        <v>0</v>
      </c>
      <c r="I74" s="51">
        <f t="shared" si="36"/>
        <v>9.6058030619694743E-3</v>
      </c>
      <c r="J74" s="51">
        <f t="shared" si="36"/>
        <v>8.9037891707463603E-3</v>
      </c>
      <c r="K74" s="51">
        <f t="shared" si="36"/>
        <v>2.6253653701228279E-3</v>
      </c>
      <c r="L74" s="51">
        <f t="shared" si="36"/>
        <v>1.7721823772026911E-3</v>
      </c>
      <c r="M74" s="51">
        <f t="shared" si="36"/>
        <v>1.8263963032343192E-2</v>
      </c>
      <c r="N74" s="51">
        <f t="shared" si="36"/>
        <v>1.0512189492238816E-2</v>
      </c>
      <c r="O74" s="99">
        <f t="shared" si="36"/>
        <v>6.9370386704277909E-3</v>
      </c>
      <c r="P74" s="51">
        <f t="shared" si="36"/>
        <v>6.3495488887661657E-3</v>
      </c>
      <c r="Q74" s="104">
        <f t="shared" si="36"/>
        <v>0</v>
      </c>
      <c r="R74" s="51">
        <f t="shared" si="12"/>
        <v>5.7573400753879195E-3</v>
      </c>
      <c r="S74" s="51"/>
      <c r="T74" s="51">
        <f t="shared" si="13"/>
        <v>0</v>
      </c>
    </row>
    <row r="75" spans="2:20" x14ac:dyDescent="0.35">
      <c r="B75" s="12" t="s">
        <v>270</v>
      </c>
      <c r="C75" s="51">
        <f t="shared" ref="C75:Q75" si="37">IFERROR(C31/C$11,0)</f>
        <v>-1.3196788347267007E-5</v>
      </c>
      <c r="D75" s="51">
        <f t="shared" si="37"/>
        <v>2.5493185190896294E-3</v>
      </c>
      <c r="E75" s="51">
        <f t="shared" si="37"/>
        <v>-1.016641906238653E-5</v>
      </c>
      <c r="F75" s="51">
        <f t="shared" si="37"/>
        <v>2.3843608651057144E-3</v>
      </c>
      <c r="G75" s="51">
        <f t="shared" si="37"/>
        <v>8.8290640479126857E-4</v>
      </c>
      <c r="H75" s="51">
        <f t="shared" si="37"/>
        <v>1.8340854901551828E-3</v>
      </c>
      <c r="I75" s="51">
        <f t="shared" si="37"/>
        <v>7.6589331152692082E-5</v>
      </c>
      <c r="J75" s="51">
        <f t="shared" si="37"/>
        <v>3.5268619848942385E-4</v>
      </c>
      <c r="K75" s="51">
        <f t="shared" si="37"/>
        <v>2.8029373109202349E-4</v>
      </c>
      <c r="L75" s="51">
        <f t="shared" si="37"/>
        <v>1.7709485124085377E-4</v>
      </c>
      <c r="M75" s="51">
        <f t="shared" si="37"/>
        <v>2.0093490556278619E-4</v>
      </c>
      <c r="N75" s="51">
        <f t="shared" si="37"/>
        <v>3.0821945402689533E-4</v>
      </c>
      <c r="O75" s="99">
        <f t="shared" si="37"/>
        <v>7.280675526415393E-4</v>
      </c>
      <c r="P75" s="51">
        <f t="shared" si="37"/>
        <v>2.5009682755156868E-3</v>
      </c>
      <c r="Q75" s="104">
        <f t="shared" si="37"/>
        <v>0</v>
      </c>
      <c r="R75" s="51">
        <f t="shared" si="12"/>
        <v>-1.9326343843972633E-5</v>
      </c>
      <c r="S75" s="51"/>
      <c r="T75" s="51">
        <f t="shared" si="13"/>
        <v>0</v>
      </c>
    </row>
    <row r="76" spans="2:20" x14ac:dyDescent="0.35">
      <c r="B76" s="12" t="s">
        <v>503</v>
      </c>
      <c r="C76" s="51">
        <f t="shared" ref="C76:Q76" si="38">IFERROR(C32/C$11,0)</f>
        <v>0</v>
      </c>
      <c r="D76" s="51">
        <f t="shared" si="38"/>
        <v>0</v>
      </c>
      <c r="E76" s="51">
        <f t="shared" si="38"/>
        <v>0</v>
      </c>
      <c r="F76" s="51">
        <f t="shared" si="38"/>
        <v>0</v>
      </c>
      <c r="G76" s="51">
        <f t="shared" si="38"/>
        <v>0</v>
      </c>
      <c r="H76" s="51">
        <f t="shared" si="38"/>
        <v>0</v>
      </c>
      <c r="I76" s="51">
        <f t="shared" si="38"/>
        <v>0</v>
      </c>
      <c r="J76" s="51">
        <f t="shared" si="38"/>
        <v>0</v>
      </c>
      <c r="K76" s="51">
        <f t="shared" si="38"/>
        <v>0</v>
      </c>
      <c r="L76" s="51">
        <f t="shared" si="38"/>
        <v>0</v>
      </c>
      <c r="M76" s="51">
        <f t="shared" si="38"/>
        <v>0</v>
      </c>
      <c r="N76" s="51">
        <f t="shared" si="38"/>
        <v>0</v>
      </c>
      <c r="O76" s="99">
        <f t="shared" si="38"/>
        <v>0</v>
      </c>
      <c r="P76" s="51">
        <f t="shared" si="38"/>
        <v>0</v>
      </c>
      <c r="Q76" s="104">
        <f t="shared" si="38"/>
        <v>0</v>
      </c>
      <c r="R76" s="51">
        <f t="shared" si="12"/>
        <v>0</v>
      </c>
      <c r="S76" s="51"/>
      <c r="T76" s="51">
        <f t="shared" si="13"/>
        <v>0</v>
      </c>
    </row>
    <row r="77" spans="2:20" x14ac:dyDescent="0.35">
      <c r="B77" s="22" t="s">
        <v>492</v>
      </c>
      <c r="C77" s="79">
        <f t="shared" ref="C77:Q77" si="39">IFERROR(C33/C$11,0)</f>
        <v>1.2487774944222503</v>
      </c>
      <c r="D77" s="79">
        <f t="shared" si="39"/>
        <v>1.7079929868427535</v>
      </c>
      <c r="E77" s="79">
        <f t="shared" si="39"/>
        <v>1.5930536280373786</v>
      </c>
      <c r="F77" s="79">
        <f t="shared" si="39"/>
        <v>1.4516664594397533</v>
      </c>
      <c r="G77" s="79">
        <f t="shared" si="39"/>
        <v>1.3933052347445234</v>
      </c>
      <c r="H77" s="79">
        <f t="shared" si="39"/>
        <v>1.4021175917066335</v>
      </c>
      <c r="I77" s="79">
        <f t="shared" si="39"/>
        <v>1.4673305621304822</v>
      </c>
      <c r="J77" s="79">
        <f t="shared" si="39"/>
        <v>1.5877078217959046</v>
      </c>
      <c r="K77" s="79">
        <f t="shared" si="39"/>
        <v>1.3542644702067062</v>
      </c>
      <c r="L77" s="79">
        <f t="shared" si="39"/>
        <v>1.5155334721821001</v>
      </c>
      <c r="M77" s="79">
        <f t="shared" si="39"/>
        <v>1.4647529199700819</v>
      </c>
      <c r="N77" s="79">
        <f t="shared" si="39"/>
        <v>1.7190053833550125</v>
      </c>
      <c r="O77" s="79">
        <f t="shared" si="39"/>
        <v>1.4834431800495391</v>
      </c>
      <c r="P77" s="79">
        <f t="shared" si="39"/>
        <v>1.4602704262440098</v>
      </c>
      <c r="Q77" s="79">
        <f t="shared" si="39"/>
        <v>0</v>
      </c>
      <c r="R77" s="79">
        <f t="shared" si="12"/>
        <v>1.6408512834637263</v>
      </c>
      <c r="S77" s="79"/>
      <c r="T77" s="79">
        <f t="shared" si="13"/>
        <v>0</v>
      </c>
    </row>
    <row r="78" spans="2:20" x14ac:dyDescent="0.35">
      <c r="C78" s="39">
        <f t="shared" ref="C78:Q78" si="40">IFERROR(C34/C$11,0)</f>
        <v>0</v>
      </c>
      <c r="D78" s="39">
        <f t="shared" si="40"/>
        <v>0</v>
      </c>
      <c r="E78" s="39">
        <f t="shared" si="40"/>
        <v>0</v>
      </c>
      <c r="F78" s="39">
        <f t="shared" si="40"/>
        <v>0</v>
      </c>
      <c r="G78" s="39">
        <f t="shared" si="40"/>
        <v>0</v>
      </c>
      <c r="H78" s="39">
        <f t="shared" si="40"/>
        <v>0</v>
      </c>
      <c r="I78" s="39">
        <f t="shared" si="40"/>
        <v>0</v>
      </c>
      <c r="J78" s="39">
        <f t="shared" si="40"/>
        <v>0</v>
      </c>
      <c r="K78" s="39">
        <f t="shared" si="40"/>
        <v>0</v>
      </c>
      <c r="L78" s="39">
        <f t="shared" si="40"/>
        <v>0</v>
      </c>
      <c r="M78" s="39">
        <f t="shared" si="40"/>
        <v>0</v>
      </c>
      <c r="N78" s="39">
        <f t="shared" si="40"/>
        <v>0</v>
      </c>
      <c r="O78" s="96">
        <f t="shared" si="40"/>
        <v>0</v>
      </c>
      <c r="P78" s="39">
        <f t="shared" si="40"/>
        <v>0</v>
      </c>
      <c r="Q78" s="102">
        <f t="shared" si="40"/>
        <v>0</v>
      </c>
      <c r="R78" s="39">
        <f t="shared" si="12"/>
        <v>0</v>
      </c>
      <c r="S78" s="39"/>
      <c r="T78" s="39">
        <f t="shared" si="13"/>
        <v>0</v>
      </c>
    </row>
    <row r="79" spans="2:20" x14ac:dyDescent="0.35">
      <c r="B79" s="8" t="s">
        <v>331</v>
      </c>
      <c r="C79" s="81">
        <f t="shared" ref="C79:Q79" si="41">IFERROR(C35/C$11,0)</f>
        <v>-0.24877749442225028</v>
      </c>
      <c r="D79" s="81">
        <f t="shared" si="41"/>
        <v>-0.70799298684275358</v>
      </c>
      <c r="E79" s="81">
        <f t="shared" si="41"/>
        <v>-0.59305362803737849</v>
      </c>
      <c r="F79" s="81">
        <f t="shared" si="41"/>
        <v>-0.45166645943975336</v>
      </c>
      <c r="G79" s="81">
        <f t="shared" si="41"/>
        <v>-0.3933052347445235</v>
      </c>
      <c r="H79" s="81">
        <f t="shared" si="41"/>
        <v>-0.40211759170663358</v>
      </c>
      <c r="I79" s="81">
        <f t="shared" si="41"/>
        <v>-0.46733056213048207</v>
      </c>
      <c r="J79" s="81">
        <f t="shared" si="41"/>
        <v>-0.58770782179590453</v>
      </c>
      <c r="K79" s="81">
        <f t="shared" si="41"/>
        <v>-0.35426447020670615</v>
      </c>
      <c r="L79" s="81">
        <f t="shared" si="41"/>
        <v>-0.51553347218210011</v>
      </c>
      <c r="M79" s="81">
        <f t="shared" si="41"/>
        <v>-0.46475291997008195</v>
      </c>
      <c r="N79" s="81">
        <f t="shared" si="41"/>
        <v>-0.71900538335501252</v>
      </c>
      <c r="O79" s="99">
        <f t="shared" si="41"/>
        <v>-0.48344318004953912</v>
      </c>
      <c r="P79" s="81">
        <f t="shared" si="41"/>
        <v>-0.46027042624400993</v>
      </c>
      <c r="Q79" s="105">
        <f t="shared" si="41"/>
        <v>0</v>
      </c>
      <c r="R79" s="81">
        <f t="shared" si="12"/>
        <v>-0.64085128346372622</v>
      </c>
      <c r="S79" s="81"/>
      <c r="T79" s="81">
        <f t="shared" si="13"/>
        <v>0</v>
      </c>
    </row>
    <row r="80" spans="2:20" x14ac:dyDescent="0.35">
      <c r="B80" s="12" t="s">
        <v>332</v>
      </c>
      <c r="C80" s="51">
        <f t="shared" ref="C80:Q80" si="42">IFERROR(C36/C$11,0)</f>
        <v>6.2698257609482028E-2</v>
      </c>
      <c r="D80" s="51">
        <f t="shared" si="42"/>
        <v>5.5568441805346671E-3</v>
      </c>
      <c r="E80" s="51">
        <f t="shared" si="42"/>
        <v>5.1449974191341103E-3</v>
      </c>
      <c r="F80" s="51">
        <f t="shared" si="42"/>
        <v>4.1115527008032324E-3</v>
      </c>
      <c r="G80" s="51">
        <f t="shared" si="42"/>
        <v>4.3647004661145914E-3</v>
      </c>
      <c r="H80" s="51">
        <f t="shared" si="42"/>
        <v>3.9976746568295913E-3</v>
      </c>
      <c r="I80" s="51">
        <f t="shared" si="42"/>
        <v>3.9234117562081429E-3</v>
      </c>
      <c r="J80" s="51">
        <f t="shared" si="42"/>
        <v>4.4916453219994122E-3</v>
      </c>
      <c r="K80" s="51">
        <f t="shared" si="42"/>
        <v>3.4741838428888699E-3</v>
      </c>
      <c r="L80" s="51">
        <f t="shared" si="42"/>
        <v>4.5190991703773359E-3</v>
      </c>
      <c r="M80" s="51">
        <f t="shared" si="42"/>
        <v>3.8227572798665553E-3</v>
      </c>
      <c r="N80" s="51">
        <f t="shared" si="42"/>
        <v>5.9627548717800183E-2</v>
      </c>
      <c r="O80" s="99">
        <f t="shared" si="42"/>
        <v>1.3462778739523659E-2</v>
      </c>
      <c r="P80" s="51">
        <f t="shared" si="42"/>
        <v>0.28824833219699031</v>
      </c>
      <c r="Q80" s="104">
        <f t="shared" si="42"/>
        <v>0</v>
      </c>
      <c r="R80" s="51">
        <f t="shared" si="12"/>
        <v>4.6129125463728118E-2</v>
      </c>
      <c r="S80" s="51"/>
      <c r="T80" s="51">
        <f t="shared" si="13"/>
        <v>0</v>
      </c>
    </row>
    <row r="81" spans="2:20" x14ac:dyDescent="0.35">
      <c r="B81" s="8" t="s">
        <v>336</v>
      </c>
      <c r="C81" s="81">
        <f t="shared" ref="C81:Q81" si="43">IFERROR(C37/C$11,0)</f>
        <v>-0.31147575203173233</v>
      </c>
      <c r="D81" s="81">
        <f t="shared" si="43"/>
        <v>-0.71354983102328828</v>
      </c>
      <c r="E81" s="81">
        <f t="shared" si="43"/>
        <v>-0.59819862545651259</v>
      </c>
      <c r="F81" s="81">
        <f t="shared" si="43"/>
        <v>-0.45577801214055658</v>
      </c>
      <c r="G81" s="81">
        <f t="shared" si="43"/>
        <v>-0.39766993521063804</v>
      </c>
      <c r="H81" s="81">
        <f t="shared" si="43"/>
        <v>-0.40611526636346318</v>
      </c>
      <c r="I81" s="81">
        <f t="shared" si="43"/>
        <v>-0.47125397388669021</v>
      </c>
      <c r="J81" s="81">
        <f t="shared" si="43"/>
        <v>-0.59219946711790394</v>
      </c>
      <c r="K81" s="81">
        <f t="shared" si="43"/>
        <v>-0.35773865404959498</v>
      </c>
      <c r="L81" s="81">
        <f t="shared" si="43"/>
        <v>-0.5200525713524774</v>
      </c>
      <c r="M81" s="81">
        <f t="shared" si="43"/>
        <v>-0.46857567724994847</v>
      </c>
      <c r="N81" s="81">
        <f t="shared" si="43"/>
        <v>-0.77863293207281281</v>
      </c>
      <c r="O81" s="99">
        <f t="shared" si="43"/>
        <v>-0.4969059587890628</v>
      </c>
      <c r="P81" s="81">
        <f t="shared" si="43"/>
        <v>-0.74851875844100024</v>
      </c>
      <c r="Q81" s="105">
        <f t="shared" si="43"/>
        <v>0</v>
      </c>
      <c r="R81" s="81">
        <f t="shared" si="12"/>
        <v>-0.68698040892745438</v>
      </c>
      <c r="S81" s="81"/>
      <c r="T81" s="81">
        <f t="shared" si="13"/>
        <v>0</v>
      </c>
    </row>
    <row r="82" spans="2:20" x14ac:dyDescent="0.35">
      <c r="B82" s="12" t="s">
        <v>204</v>
      </c>
      <c r="C82" s="51">
        <f t="shared" ref="C82:Q82" si="44">IFERROR(C38/C$11,0)</f>
        <v>1.639414526677366E-4</v>
      </c>
      <c r="D82" s="51">
        <f t="shared" si="44"/>
        <v>2.7003713286924786E-3</v>
      </c>
      <c r="E82" s="51">
        <f t="shared" si="44"/>
        <v>2.3321115127816596E-3</v>
      </c>
      <c r="F82" s="51">
        <f t="shared" si="44"/>
        <v>2.793532460644549E-3</v>
      </c>
      <c r="G82" s="51">
        <f t="shared" si="44"/>
        <v>2.800433959056495E-3</v>
      </c>
      <c r="H82" s="51">
        <f t="shared" si="44"/>
        <v>2.6218948114776247E-3</v>
      </c>
      <c r="I82" s="51">
        <f t="shared" si="44"/>
        <v>2.6095617054323643E-3</v>
      </c>
      <c r="J82" s="51">
        <f t="shared" si="44"/>
        <v>3.6046102741822202E-3</v>
      </c>
      <c r="K82" s="51">
        <f t="shared" si="44"/>
        <v>2.1176510915928808E-3</v>
      </c>
      <c r="L82" s="51">
        <f t="shared" si="44"/>
        <v>2.8012996474143215E-3</v>
      </c>
      <c r="M82" s="51">
        <f t="shared" si="44"/>
        <v>2.9347738785541256E-3</v>
      </c>
      <c r="N82" s="51">
        <f t="shared" si="44"/>
        <v>4.3768090641082341E-3</v>
      </c>
      <c r="O82" s="99">
        <f t="shared" si="44"/>
        <v>2.6566891138360871E-3</v>
      </c>
      <c r="P82" s="51">
        <f t="shared" si="44"/>
        <v>0</v>
      </c>
      <c r="Q82" s="104">
        <f t="shared" si="44"/>
        <v>0</v>
      </c>
      <c r="R82" s="51">
        <f t="shared" si="12"/>
        <v>1.7310064467684647E-3</v>
      </c>
      <c r="S82" s="51"/>
      <c r="T82" s="51">
        <f t="shared" si="13"/>
        <v>0</v>
      </c>
    </row>
    <row r="83" spans="2:20" x14ac:dyDescent="0.35">
      <c r="B83" s="27" t="s">
        <v>333</v>
      </c>
      <c r="C83" s="81">
        <f t="shared" ref="C83:Q83" si="45">IFERROR(C39/C$11,0)</f>
        <v>-0.31163969348440007</v>
      </c>
      <c r="D83" s="81">
        <f t="shared" si="45"/>
        <v>-0.71625020235198078</v>
      </c>
      <c r="E83" s="81">
        <f t="shared" si="45"/>
        <v>-0.60053073696929427</v>
      </c>
      <c r="F83" s="81">
        <f t="shared" si="45"/>
        <v>-0.45857154460120109</v>
      </c>
      <c r="G83" s="81">
        <f t="shared" si="45"/>
        <v>-0.40047036916969458</v>
      </c>
      <c r="H83" s="81">
        <f t="shared" si="45"/>
        <v>-0.4087371611749408</v>
      </c>
      <c r="I83" s="81">
        <f t="shared" si="45"/>
        <v>-0.47386353559212258</v>
      </c>
      <c r="J83" s="81">
        <f t="shared" si="45"/>
        <v>-0.59580407739208618</v>
      </c>
      <c r="K83" s="81">
        <f t="shared" si="45"/>
        <v>-0.35985630514118783</v>
      </c>
      <c r="L83" s="81">
        <f t="shared" si="45"/>
        <v>-0.52285387099989178</v>
      </c>
      <c r="M83" s="81">
        <f t="shared" si="45"/>
        <v>-0.47151045112850259</v>
      </c>
      <c r="N83" s="81">
        <f t="shared" si="45"/>
        <v>-0.7830097411369209</v>
      </c>
      <c r="O83" s="99">
        <f t="shared" si="45"/>
        <v>-0.49956264790289889</v>
      </c>
      <c r="P83" s="81">
        <f t="shared" si="45"/>
        <v>-0.74851875844100024</v>
      </c>
      <c r="Q83" s="105">
        <f t="shared" si="45"/>
        <v>0</v>
      </c>
      <c r="R83" s="81">
        <f t="shared" si="12"/>
        <v>-0.68871141537422287</v>
      </c>
      <c r="S83" s="81"/>
      <c r="T83" s="81">
        <f t="shared" si="13"/>
        <v>0</v>
      </c>
    </row>
    <row r="84" spans="2:20" x14ac:dyDescent="0.35">
      <c r="B84" s="12" t="s">
        <v>334</v>
      </c>
      <c r="C84" s="51">
        <f t="shared" ref="C84:Q84" si="46">IFERROR(C40/C$11,0)</f>
        <v>0</v>
      </c>
      <c r="D84" s="51">
        <f t="shared" si="46"/>
        <v>0</v>
      </c>
      <c r="E84" s="51">
        <f t="shared" si="46"/>
        <v>0</v>
      </c>
      <c r="F84" s="51">
        <f t="shared" si="46"/>
        <v>0</v>
      </c>
      <c r="G84" s="51">
        <f t="shared" si="46"/>
        <v>0</v>
      </c>
      <c r="H84" s="51">
        <f t="shared" si="46"/>
        <v>0</v>
      </c>
      <c r="I84" s="51">
        <f t="shared" si="46"/>
        <v>0</v>
      </c>
      <c r="J84" s="51">
        <f t="shared" si="46"/>
        <v>0</v>
      </c>
      <c r="K84" s="51">
        <f t="shared" si="46"/>
        <v>0</v>
      </c>
      <c r="L84" s="51">
        <f t="shared" si="46"/>
        <v>0</v>
      </c>
      <c r="M84" s="51">
        <f t="shared" si="46"/>
        <v>0</v>
      </c>
      <c r="N84" s="51">
        <f t="shared" si="46"/>
        <v>0</v>
      </c>
      <c r="O84" s="99">
        <f t="shared" si="46"/>
        <v>0</v>
      </c>
      <c r="P84" s="51">
        <f t="shared" si="46"/>
        <v>0</v>
      </c>
      <c r="Q84" s="104">
        <f t="shared" si="46"/>
        <v>0</v>
      </c>
      <c r="R84" s="51">
        <f t="shared" si="12"/>
        <v>0</v>
      </c>
      <c r="S84" s="51"/>
      <c r="T84" s="51">
        <f t="shared" si="13"/>
        <v>0</v>
      </c>
    </row>
    <row r="85" spans="2:20" x14ac:dyDescent="0.35">
      <c r="B85" s="44" t="s">
        <v>335</v>
      </c>
      <c r="C85" s="82">
        <f t="shared" ref="C85:Q85" si="47">IFERROR(C41/C$11,0)</f>
        <v>-0.31163969348440007</v>
      </c>
      <c r="D85" s="82">
        <f t="shared" si="47"/>
        <v>-0.71625020235198078</v>
      </c>
      <c r="E85" s="82">
        <f t="shared" si="47"/>
        <v>-0.60053073696929427</v>
      </c>
      <c r="F85" s="82">
        <f t="shared" si="47"/>
        <v>-0.45857154460120109</v>
      </c>
      <c r="G85" s="82">
        <f t="shared" si="47"/>
        <v>-0.40047036916969458</v>
      </c>
      <c r="H85" s="82">
        <f t="shared" si="47"/>
        <v>-0.4087371611749408</v>
      </c>
      <c r="I85" s="82">
        <f t="shared" si="47"/>
        <v>-0.47386353559212258</v>
      </c>
      <c r="J85" s="82">
        <f t="shared" si="47"/>
        <v>-0.59580407739208618</v>
      </c>
      <c r="K85" s="82">
        <f t="shared" si="47"/>
        <v>-0.35985630514118783</v>
      </c>
      <c r="L85" s="82">
        <f t="shared" si="47"/>
        <v>-0.52285387099989178</v>
      </c>
      <c r="M85" s="82">
        <f t="shared" si="47"/>
        <v>-0.47151045112850259</v>
      </c>
      <c r="N85" s="82">
        <f t="shared" si="47"/>
        <v>-0.7830097411369209</v>
      </c>
      <c r="O85" s="100">
        <f t="shared" si="47"/>
        <v>-0.49956264790289889</v>
      </c>
      <c r="P85" s="82">
        <f t="shared" si="47"/>
        <v>-0.74851875844100024</v>
      </c>
      <c r="Q85" s="106">
        <f t="shared" si="47"/>
        <v>0</v>
      </c>
      <c r="R85" s="82">
        <f t="shared" si="12"/>
        <v>-0.68871141537422287</v>
      </c>
      <c r="S85" s="82"/>
      <c r="T85" s="82">
        <f t="shared" si="13"/>
        <v>0</v>
      </c>
    </row>
  </sheetData>
  <mergeCells count="1">
    <mergeCell ref="U4:W4"/>
  </mergeCells>
  <pageMargins left="0.31496062992125984" right="0.31496062992125984" top="0.74803149606299213" bottom="0.74803149606299213" header="0.31496062992125984" footer="0.31496062992125984"/>
  <pageSetup orientation="landscape" r:id="rId1"/>
  <ignoredErrors>
    <ignoredError sqref="C9:C10 C37:Q39 C40:Q40 D9:P9 D10:P1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45D0-3FCB-44DE-8754-D17FAC1C9DA5}">
  <dimension ref="A1:W58"/>
  <sheetViews>
    <sheetView showGridLines="0" topLeftCell="A40" workbookViewId="0">
      <selection activeCell="T61" sqref="T61"/>
    </sheetView>
  </sheetViews>
  <sheetFormatPr defaultColWidth="9.08984375" defaultRowHeight="14.5" x14ac:dyDescent="0.35"/>
  <cols>
    <col min="1" max="1" width="2.36328125" style="28" customWidth="1"/>
    <col min="2" max="2" width="33.453125" style="12" bestFit="1" customWidth="1"/>
    <col min="3" max="3" width="6.453125" style="12" bestFit="1" customWidth="1"/>
    <col min="4" max="4" width="6.453125" style="12" hidden="1" customWidth="1"/>
    <col min="5" max="5" width="7.08984375" style="12" hidden="1" customWidth="1"/>
    <col min="6" max="13" width="6.453125" style="12" hidden="1" customWidth="1"/>
    <col min="14" max="14" width="6.81640625" style="12" bestFit="1" customWidth="1"/>
    <col min="15" max="16" width="8" style="12" hidden="1" customWidth="1"/>
    <col min="17" max="17" width="0" style="12" hidden="1" customWidth="1"/>
    <col min="18" max="18" width="6.54296875" style="12" bestFit="1" customWidth="1"/>
    <col min="19" max="19" width="13.54296875" style="12" bestFit="1" customWidth="1"/>
    <col min="20" max="16384" width="9.08984375" style="12"/>
  </cols>
  <sheetData>
    <row r="1" spans="2:23" ht="23.5" x14ac:dyDescent="0.55000000000000004">
      <c r="B1" s="63" t="s">
        <v>506</v>
      </c>
      <c r="C1" s="29"/>
      <c r="D1" s="29"/>
      <c r="E1" s="29"/>
      <c r="F1" s="29"/>
      <c r="G1" s="29"/>
      <c r="H1" s="29"/>
      <c r="I1"/>
      <c r="J1"/>
    </row>
    <row r="2" spans="2:23" ht="15" thickBot="1" x14ac:dyDescent="0.4">
      <c r="B2" s="30" t="s">
        <v>633</v>
      </c>
      <c r="C2" s="31"/>
      <c r="D2" s="31"/>
      <c r="E2" s="32" t="s">
        <v>465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2:23" ht="8.25" customHeight="1" x14ac:dyDescent="0.35"/>
    <row r="4" spans="2:23" ht="13.75" customHeight="1" x14ac:dyDescent="0.35">
      <c r="C4" s="132" t="s">
        <v>636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 t="s">
        <v>634</v>
      </c>
      <c r="R4" s="132" t="s">
        <v>634</v>
      </c>
      <c r="S4" s="132" t="s">
        <v>635</v>
      </c>
      <c r="T4" s="132" t="s">
        <v>627</v>
      </c>
      <c r="U4" s="174" t="s">
        <v>628</v>
      </c>
      <c r="V4" s="175"/>
      <c r="W4" s="176"/>
    </row>
    <row r="5" spans="2:23" x14ac:dyDescent="0.35">
      <c r="B5" s="33" t="s">
        <v>466</v>
      </c>
      <c r="C5" s="132">
        <v>45748</v>
      </c>
      <c r="D5" s="132">
        <v>45778</v>
      </c>
      <c r="E5" s="132">
        <v>45809</v>
      </c>
      <c r="F5" s="132">
        <v>45839</v>
      </c>
      <c r="G5" s="132">
        <v>45870</v>
      </c>
      <c r="H5" s="132">
        <v>45901</v>
      </c>
      <c r="I5" s="132">
        <v>45931</v>
      </c>
      <c r="J5" s="132">
        <v>45962</v>
      </c>
      <c r="K5" s="132">
        <v>45992</v>
      </c>
      <c r="L5" s="132">
        <v>46023</v>
      </c>
      <c r="M5" s="132">
        <v>46054</v>
      </c>
      <c r="N5" s="132">
        <v>46082</v>
      </c>
      <c r="O5" s="132" t="s">
        <v>219</v>
      </c>
      <c r="P5" s="132" t="s">
        <v>613</v>
      </c>
      <c r="Q5" s="132" t="s">
        <v>614</v>
      </c>
      <c r="R5" s="132">
        <v>46113</v>
      </c>
      <c r="S5" s="132">
        <v>46143</v>
      </c>
      <c r="T5" s="132">
        <v>46113</v>
      </c>
      <c r="U5" s="132" t="s">
        <v>629</v>
      </c>
      <c r="V5" s="132" t="s">
        <v>630</v>
      </c>
      <c r="W5" s="132" t="s">
        <v>631</v>
      </c>
    </row>
    <row r="6" spans="2:23" x14ac:dyDescent="0.35">
      <c r="B6" s="8" t="s">
        <v>220</v>
      </c>
      <c r="C6" s="137"/>
      <c r="N6" s="137"/>
      <c r="O6" s="137"/>
      <c r="P6" s="137"/>
      <c r="Q6" s="137"/>
      <c r="R6" s="137"/>
      <c r="S6" s="137"/>
      <c r="T6" s="137"/>
      <c r="U6" s="150"/>
      <c r="V6" s="137"/>
      <c r="W6" s="137"/>
    </row>
    <row r="7" spans="2:23" x14ac:dyDescent="0.35">
      <c r="B7" s="12" t="s">
        <v>508</v>
      </c>
      <c r="C7" s="134">
        <f>-SUMIFS(TB_FNB[Apr],TB_FNB[MIS_Group1],$B7)/10^5</f>
        <v>133.45512019999998</v>
      </c>
      <c r="D7" s="39">
        <f>-SUMIFS(TB_FNB[May],TB_FNB[MIS_Group1],$B7)/10^5</f>
        <v>141.66725490000002</v>
      </c>
      <c r="E7" s="39">
        <f>-SUMIFS(TB_FNB[Jun],TB_FNB[MIS_Group1],$B7)/10^5</f>
        <v>131.13536640000001</v>
      </c>
      <c r="F7" s="39">
        <f>-SUMIFS(TB_FNB[Jul],TB_FNB[MIS_Group1],$B7)/10^5</f>
        <v>153.3309385</v>
      </c>
      <c r="G7" s="39">
        <f>-SUMIFS(TB_FNB[Aug],TB_FNB[MIS_Group1],$B7)/10^5</f>
        <v>152.96557820000001</v>
      </c>
      <c r="H7" s="39">
        <f>-SUMIFS(TB_FNB[Sep],TB_FNB[MIS_Group1],$B7)/10^5</f>
        <v>147.75528850000001</v>
      </c>
      <c r="I7" s="39">
        <f>-SUMIFS(TB_FNB[Oct],TB_FNB[MIS_Group1],$B7)/10^5</f>
        <v>146.87832950000001</v>
      </c>
      <c r="J7" s="39">
        <f>-SUMIFS(TB_FNB[Nov],TB_FNB[MIS_Group1],$B7)/10^5</f>
        <v>137.58936820000002</v>
      </c>
      <c r="K7" s="39">
        <f>-SUMIFS(TB_FNB[Dec],TB_FNB[MIS_Group1],$B7)/10^5</f>
        <v>141.79662729999998</v>
      </c>
      <c r="L7" s="39">
        <f>-SUMIFS(TB_FNB[Jan],TB_FNB[MIS_Group1],$B7)/10^5</f>
        <v>155.47461579999995</v>
      </c>
      <c r="M7" s="39">
        <f>-SUMIFS(TB_FNB[Feb],TB_FNB[MIS_Group1],$B7)/10^5</f>
        <v>142.1007635</v>
      </c>
      <c r="N7" s="134">
        <f>-SUMIFS(TB_FNB[Mar],TB_FNB[MIS_Group1],$B7)/10^5</f>
        <v>134.0274374</v>
      </c>
      <c r="O7" s="134">
        <f>SUM(C7:N7)</f>
        <v>1718.1766884000003</v>
      </c>
      <c r="P7" s="134">
        <v>1848.3621085440002</v>
      </c>
      <c r="Q7" s="134"/>
      <c r="R7" s="134">
        <f>-SUMIFS(TB_FNB[Apr_26],TB_FNB[MIS_Group1],$B7)/10^5</f>
        <v>156.02992320000001</v>
      </c>
      <c r="S7" s="134">
        <f>-SUMIFS(TB_FNB!AA:AA,TB_FNB!J:J,PL_FNB!B7)/10^5</f>
        <v>167.08431420000002</v>
      </c>
      <c r="T7" s="134"/>
      <c r="U7" s="149">
        <f>IFERROR(R7/C7-1,"-")</f>
        <v>0.16915651468575144</v>
      </c>
      <c r="V7" s="149">
        <f>IFERROR(R7/N7-1,"-")</f>
        <v>0.16416404153378239</v>
      </c>
      <c r="W7" s="149" t="str">
        <f>IFERROR(R7/T7,"-")</f>
        <v>-</v>
      </c>
    </row>
    <row r="8" spans="2:23" x14ac:dyDescent="0.35">
      <c r="B8" s="12" t="s">
        <v>222</v>
      </c>
      <c r="C8" s="134">
        <f>-SUMIFS(TB_FNB[Apr],TB_FNB[MIS_Group1],$B8)/10^5</f>
        <v>0</v>
      </c>
      <c r="D8" s="39">
        <f>-SUMIFS(TB_FNB[May],TB_FNB[MIS_Group1],$B8)/10^5</f>
        <v>0</v>
      </c>
      <c r="E8" s="39">
        <f>-SUMIFS(TB_FNB[Jun],TB_FNB[MIS_Group1],$B8)/10^5</f>
        <v>0.11656</v>
      </c>
      <c r="F8" s="39">
        <f>-SUMIFS(TB_FNB[Jul],TB_FNB[MIS_Group1],$B8)/10^5</f>
        <v>5.6779999999999997E-2</v>
      </c>
      <c r="G8" s="39">
        <f>-SUMIFS(TB_FNB[Aug],TB_FNB[MIS_Group1],$B8)/10^5</f>
        <v>0</v>
      </c>
      <c r="H8" s="39">
        <f>-SUMIFS(TB_FNB[Sep],TB_FNB[MIS_Group1],$B8)/10^5</f>
        <v>0.17785999999999999</v>
      </c>
      <c r="I8" s="39">
        <f>-SUMIFS(TB_FNB[Oct],TB_FNB[MIS_Group1],$B8)/10^5</f>
        <v>0</v>
      </c>
      <c r="J8" s="39">
        <f>-SUMIFS(TB_FNB[Nov],TB_FNB[MIS_Group1],$B8)/10^5</f>
        <v>8.7120000000000003E-2</v>
      </c>
      <c r="K8" s="39">
        <f>-SUMIFS(TB_FNB[Dec],TB_FNB[MIS_Group1],$B8)/10^5</f>
        <v>0</v>
      </c>
      <c r="L8" s="39">
        <f>-SUMIFS(TB_FNB[Jan],TB_FNB[MIS_Group1],$B8)/10^5</f>
        <v>9.8299999999999998E-2</v>
      </c>
      <c r="M8" s="39">
        <f>-SUMIFS(TB_FNB[Feb],TB_FNB[MIS_Group1],$B8)/10^5</f>
        <v>0</v>
      </c>
      <c r="N8" s="134">
        <f>-SUMIFS(TB_FNB[Mar],TB_FNB[MIS_Group1],$B8)/10^5</f>
        <v>8.7800000000000003E-2</v>
      </c>
      <c r="O8" s="134">
        <f>SUM(C8:N8)</f>
        <v>0.62441999999999986</v>
      </c>
      <c r="P8" s="134">
        <v>4.9413574080000009</v>
      </c>
      <c r="Q8" s="134"/>
      <c r="R8" s="134">
        <f>-SUMIFS(TB_FNB[Apr_26],TB_FNB[MIS_Group1],$B8)/10^5</f>
        <v>0</v>
      </c>
      <c r="S8" s="134">
        <f>-SUMIFS(TB_FNB!AA:AA,TB_FNB!J:J,PL_FNB!B8)/10^5</f>
        <v>9.2969999999999997E-2</v>
      </c>
      <c r="T8" s="134"/>
      <c r="U8" s="149" t="str">
        <f>IFERROR(R8/C8-1,"-")</f>
        <v>-</v>
      </c>
      <c r="V8" s="149">
        <f>IFERROR(R8/N8-1,"-")</f>
        <v>-1</v>
      </c>
      <c r="W8" s="149" t="str">
        <f>IFERROR(R8/T8,"-")</f>
        <v>-</v>
      </c>
    </row>
    <row r="9" spans="2:23" x14ac:dyDescent="0.35">
      <c r="B9" s="26" t="s">
        <v>223</v>
      </c>
      <c r="C9" s="124">
        <f>SUM(C7:C8)</f>
        <v>133.45512019999998</v>
      </c>
      <c r="D9" s="41">
        <f t="shared" ref="D9:O9" si="0">SUM(D7:D8)</f>
        <v>141.66725490000002</v>
      </c>
      <c r="E9" s="41">
        <f t="shared" si="0"/>
        <v>131.2519264</v>
      </c>
      <c r="F9" s="41">
        <f t="shared" si="0"/>
        <v>153.38771850000001</v>
      </c>
      <c r="G9" s="41">
        <f t="shared" si="0"/>
        <v>152.96557820000001</v>
      </c>
      <c r="H9" s="41">
        <f t="shared" si="0"/>
        <v>147.93314850000002</v>
      </c>
      <c r="I9" s="41">
        <f t="shared" si="0"/>
        <v>146.87832950000001</v>
      </c>
      <c r="J9" s="41">
        <f t="shared" si="0"/>
        <v>137.67648820000002</v>
      </c>
      <c r="K9" s="41">
        <f t="shared" si="0"/>
        <v>141.79662729999998</v>
      </c>
      <c r="L9" s="41">
        <f t="shared" si="0"/>
        <v>155.57291579999995</v>
      </c>
      <c r="M9" s="41">
        <f t="shared" si="0"/>
        <v>142.1007635</v>
      </c>
      <c r="N9" s="124">
        <f t="shared" si="0"/>
        <v>134.11523739999998</v>
      </c>
      <c r="O9" s="124">
        <f t="shared" si="0"/>
        <v>1718.8011084000004</v>
      </c>
      <c r="P9" s="124">
        <f>SUM(P7:P8)</f>
        <v>1853.3034659520001</v>
      </c>
      <c r="Q9" s="124">
        <f>SUM(Q7:Q8)</f>
        <v>0</v>
      </c>
      <c r="R9" s="124">
        <f>SUM(R7:R8)</f>
        <v>156.02992320000001</v>
      </c>
      <c r="S9" s="124">
        <f>SUM(S7:S8)</f>
        <v>167.17728420000003</v>
      </c>
      <c r="T9" s="124"/>
      <c r="U9" s="151">
        <f>IFERROR(R9/C9-1,"-")</f>
        <v>0.16915651468575144</v>
      </c>
      <c r="V9" s="151">
        <f>IFERROR(R9/N9-1,"-")</f>
        <v>0.16340190887213857</v>
      </c>
      <c r="W9" s="152" t="str">
        <f>IFERROR(R9/T9,"-")</f>
        <v>-</v>
      </c>
    </row>
    <row r="10" spans="2:23" ht="6" customHeight="1" x14ac:dyDescent="0.35">
      <c r="C10" s="134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134"/>
      <c r="O10" s="134"/>
      <c r="P10" s="134"/>
      <c r="Q10" s="134"/>
      <c r="R10" s="134"/>
      <c r="S10" s="134"/>
      <c r="T10" s="134"/>
      <c r="U10" s="134"/>
      <c r="V10" s="134"/>
      <c r="W10" s="134"/>
    </row>
    <row r="11" spans="2:23" x14ac:dyDescent="0.35">
      <c r="B11" s="12" t="s">
        <v>268</v>
      </c>
      <c r="C11" s="134">
        <f>SUMIFS(TB_FNB[Apr],TB_FNB[MIS_Group1],$B11)/10^5</f>
        <v>78.06663309999999</v>
      </c>
      <c r="D11" s="39">
        <f>SUMIFS(TB_FNB[May],TB_FNB[MIS_Group1],$B11)/10^5</f>
        <v>78.764508699999993</v>
      </c>
      <c r="E11" s="39">
        <f>SUMIFS(TB_FNB[Jun],TB_FNB[MIS_Group1],$B11)/10^5</f>
        <v>75.972418599999997</v>
      </c>
      <c r="F11" s="39">
        <f>SUMIFS(TB_FNB[Jul],TB_FNB[MIS_Group1],$B11)/10^5</f>
        <v>82.515608</v>
      </c>
      <c r="G11" s="39">
        <f>SUMIFS(TB_FNB[Aug],TB_FNB[MIS_Group1],$B11)/10^5</f>
        <v>88.257570799999982</v>
      </c>
      <c r="H11" s="39">
        <f>SUMIFS(TB_FNB[Sep],TB_FNB[MIS_Group1],$B11)/10^5</f>
        <v>77.876737599999998</v>
      </c>
      <c r="I11" s="39">
        <f>SUMIFS(TB_FNB[Oct],TB_FNB[MIS_Group1],$B11)/10^5</f>
        <v>81.780732300000011</v>
      </c>
      <c r="J11" s="39">
        <f>SUMIFS(TB_FNB[Nov],TB_FNB[MIS_Group1],$B11)/10^5</f>
        <v>78.606577599999994</v>
      </c>
      <c r="K11" s="39">
        <f>SUMIFS(TB_FNB[Dec],TB_FNB[MIS_Group1],$B11)/10^5</f>
        <v>83.582117199999985</v>
      </c>
      <c r="L11" s="39">
        <f>SUMIFS(TB_FNB[Jan],TB_FNB[MIS_Group1],$B11)/10^5</f>
        <v>88.073718800000023</v>
      </c>
      <c r="M11" s="39">
        <f>SUMIFS(TB_FNB[Feb],TB_FNB[MIS_Group1],$B11)/10^5</f>
        <v>79.693889400000018</v>
      </c>
      <c r="N11" s="134">
        <f>SUMIFS(TB_FNB[Mar],TB_FNB[MIS_Group1],$B11)/10^5</f>
        <v>77.263266799999982</v>
      </c>
      <c r="O11" s="134">
        <f>SUM(C11:N11)</f>
        <v>970.45377890000009</v>
      </c>
      <c r="P11" s="134">
        <v>1057.3504317671409</v>
      </c>
      <c r="Q11" s="134"/>
      <c r="R11" s="134">
        <f>SUMIFS(TB_FNB[Apr_26],TB_FNB[MIS_Group1],$B11)/10^5</f>
        <v>95.352310500000002</v>
      </c>
      <c r="S11" s="134">
        <f>SUMIFS(TB_FNB!AA:AA,TB_FNB!J:J,PL_FNB!B11)/10^5</f>
        <v>114.62661689999997</v>
      </c>
      <c r="T11" s="134"/>
      <c r="U11" s="149">
        <f t="shared" ref="U11:U20" si="1">IFERROR(R11/C11-1,"-")</f>
        <v>0.22142209435185722</v>
      </c>
      <c r="V11" s="149">
        <f t="shared" ref="V11:V20" si="2">IFERROR(R11/N11-1,"-")</f>
        <v>0.23412217020054893</v>
      </c>
      <c r="W11" s="149" t="str">
        <f t="shared" ref="W11:W20" si="3">IFERROR(R11/T11,"-")</f>
        <v>-</v>
      </c>
    </row>
    <row r="12" spans="2:23" x14ac:dyDescent="0.35">
      <c r="B12" s="12" t="s">
        <v>272</v>
      </c>
      <c r="C12" s="134">
        <f>SUMIFS(TB_FNB[Apr],TB_FNB[MIS_Group1],$B12)/10^5</f>
        <v>18.829112536620293</v>
      </c>
      <c r="D12" s="39">
        <f>SUMIFS(TB_FNB[May],TB_FNB[MIS_Group1],$B12)/10^5</f>
        <v>18.890032536620296</v>
      </c>
      <c r="E12" s="39">
        <f>SUMIFS(TB_FNB[Jun],TB_FNB[MIS_Group1],$B12)/10^5</f>
        <v>19.070552536620294</v>
      </c>
      <c r="F12" s="39">
        <f>SUMIFS(TB_FNB[Jul],TB_FNB[MIS_Group1],$B12)/10^5</f>
        <v>19.234348236620296</v>
      </c>
      <c r="G12" s="39">
        <f>SUMIFS(TB_FNB[Aug],TB_FNB[MIS_Group1],$B12)/10^5</f>
        <v>18.935212536620295</v>
      </c>
      <c r="H12" s="39">
        <f>SUMIFS(TB_FNB[Sep],TB_FNB[MIS_Group1],$B12)/10^5</f>
        <v>18.539552536620295</v>
      </c>
      <c r="I12" s="39">
        <f>SUMIFS(TB_FNB[Oct],TB_FNB[MIS_Group1],$B12)/10^5</f>
        <v>20.396232436620295</v>
      </c>
      <c r="J12" s="39">
        <f>SUMIFS(TB_FNB[Nov],TB_FNB[MIS_Group1],$B12)/10^5</f>
        <v>19.101782536620295</v>
      </c>
      <c r="K12" s="39">
        <f>SUMIFS(TB_FNB[Dec],TB_FNB[MIS_Group1],$B12)/10^5</f>
        <v>17.831227536620297</v>
      </c>
      <c r="L12" s="39">
        <f>SUMIFS(TB_FNB[Jan],TB_FNB[MIS_Group1],$B12)/10^5</f>
        <v>19.160272536620294</v>
      </c>
      <c r="M12" s="39">
        <f>SUMIFS(TB_FNB[Feb],TB_FNB[MIS_Group1],$B12)/10^5</f>
        <v>18.880407536620297</v>
      </c>
      <c r="N12" s="134">
        <f>SUMIFS(TB_FNB[Mar],TB_FNB[MIS_Group1],$B12)/10^5</f>
        <v>18.787897536620296</v>
      </c>
      <c r="O12" s="134">
        <f t="shared" ref="O12:O19" si="4">SUM(C12:N12)</f>
        <v>227.65663103944357</v>
      </c>
      <c r="P12" s="134">
        <v>256.08902239580561</v>
      </c>
      <c r="Q12" s="134"/>
      <c r="R12" s="134">
        <f>SUMIFS(TB_FNB[Apr_26],TB_FNB[MIS_Group1],$B12)/10^5</f>
        <v>19.609122536620294</v>
      </c>
      <c r="S12" s="134">
        <f>SUMIFS(TB_FNB!AA:AA,TB_FNB!J:J,PL_FNB!B12)/10^5</f>
        <v>19.386192536620296</v>
      </c>
      <c r="T12" s="134"/>
      <c r="U12" s="149">
        <f t="shared" si="1"/>
        <v>4.1425744228942074E-2</v>
      </c>
      <c r="V12" s="149">
        <f t="shared" si="2"/>
        <v>4.3710319283960075E-2</v>
      </c>
      <c r="W12" s="149" t="str">
        <f t="shared" si="3"/>
        <v>-</v>
      </c>
    </row>
    <row r="13" spans="2:23" x14ac:dyDescent="0.35">
      <c r="B13" s="12" t="s">
        <v>278</v>
      </c>
      <c r="C13" s="134">
        <f>SUMIFS(TB_FNB[Apr],TB_FNB[MIS_Group1],$B13)/10^5</f>
        <v>6.8091907530000011</v>
      </c>
      <c r="D13" s="39">
        <f>SUMIFS(TB_FNB[May],TB_FNB[MIS_Group1],$B13)/10^5</f>
        <v>7.0618637781000011</v>
      </c>
      <c r="E13" s="39">
        <f>SUMIFS(TB_FNB[Jun],TB_FNB[MIS_Group1],$B13)/10^5</f>
        <v>6.8091907530000011</v>
      </c>
      <c r="F13" s="39">
        <f>SUMIFS(TB_FNB[Jul],TB_FNB[MIS_Group1],$B13)/10^5</f>
        <v>7.0665537781000012</v>
      </c>
      <c r="G13" s="39">
        <f>SUMIFS(TB_FNB[Aug],TB_FNB[MIS_Group1],$B13)/10^5</f>
        <v>7.0562637781000008</v>
      </c>
      <c r="H13" s="39">
        <f>SUMIFS(TB_FNB[Sep],TB_FNB[MIS_Group1],$B13)/10^5</f>
        <v>6.8091907530000011</v>
      </c>
      <c r="I13" s="39">
        <f>SUMIFS(TB_FNB[Oct],TB_FNB[MIS_Group1],$B13)/10^5</f>
        <v>7.071063778100001</v>
      </c>
      <c r="J13" s="39">
        <f>SUMIFS(TB_FNB[Nov],TB_FNB[MIS_Group1],$B13)/10^5</f>
        <v>6.8091907530000011</v>
      </c>
      <c r="K13" s="39">
        <f>SUMIFS(TB_FNB[Dec],TB_FNB[MIS_Group1],$B13)/10^5</f>
        <v>7.077159978100001</v>
      </c>
      <c r="L13" s="39">
        <f>SUMIFS(TB_FNB[Jan],TB_FNB[MIS_Group1],$B13)/10^5</f>
        <v>7.0584337781000013</v>
      </c>
      <c r="M13" s="39">
        <f>SUMIFS(TB_FNB[Feb],TB_FNB[MIS_Group1],$B13)/10^5</f>
        <v>6.3552447028000003</v>
      </c>
      <c r="N13" s="134">
        <f>SUMIFS(TB_FNB[Mar],TB_FNB[MIS_Group1],$B13)/10^5</f>
        <v>7.0732237781000009</v>
      </c>
      <c r="O13" s="134">
        <f t="shared" si="4"/>
        <v>83.056570361500022</v>
      </c>
      <c r="P13" s="134">
        <v>81.955264356000029</v>
      </c>
      <c r="Q13" s="134"/>
      <c r="R13" s="134">
        <f>SUMIFS(TB_FNB[Apr_26],TB_FNB[MIS_Group1],$B13)/10^5</f>
        <v>6.8451528081000017</v>
      </c>
      <c r="S13" s="134">
        <f>SUMIFS(TB_FNB!AA:AA,TB_FNB!J:J,PL_FNB!B13)/10^5</f>
        <v>7.0361637781000006</v>
      </c>
      <c r="T13" s="134"/>
      <c r="U13" s="149">
        <f t="shared" si="1"/>
        <v>5.2813992740849969E-3</v>
      </c>
      <c r="V13" s="149">
        <f t="shared" si="2"/>
        <v>-3.2244274627101221E-2</v>
      </c>
      <c r="W13" s="149" t="str">
        <f t="shared" si="3"/>
        <v>-</v>
      </c>
    </row>
    <row r="14" spans="2:23" x14ac:dyDescent="0.35">
      <c r="B14" s="12" t="s">
        <v>534</v>
      </c>
      <c r="C14" s="134">
        <f>SUMIFS(TB_FNB[Apr],TB_FNB[MIS_Group1],$B14)/10^5</f>
        <v>1.5668856</v>
      </c>
      <c r="D14" s="39">
        <f>SUMIFS(TB_FNB[May],TB_FNB[MIS_Group1],$B14)/10^5</f>
        <v>1.8600686</v>
      </c>
      <c r="E14" s="39">
        <f>SUMIFS(TB_FNB[Jun],TB_FNB[MIS_Group1],$B14)/10^5</f>
        <v>1.6666884</v>
      </c>
      <c r="F14" s="39">
        <f>SUMIFS(TB_FNB[Jul],TB_FNB[MIS_Group1],$B14)/10^5</f>
        <v>2.1864233</v>
      </c>
      <c r="G14" s="39">
        <f>SUMIFS(TB_FNB[Aug],TB_FNB[MIS_Group1],$B14)/10^5</f>
        <v>2.0633135999999999</v>
      </c>
      <c r="H14" s="39">
        <f>SUMIFS(TB_FNB[Sep],TB_FNB[MIS_Group1],$B14)/10^5</f>
        <v>1.6058926999999998</v>
      </c>
      <c r="I14" s="39">
        <f>SUMIFS(TB_FNB[Oct],TB_FNB[MIS_Group1],$B14)/10^5</f>
        <v>1.7252232000000001</v>
      </c>
      <c r="J14" s="39">
        <f>SUMIFS(TB_FNB[Nov],TB_FNB[MIS_Group1],$B14)/10^5</f>
        <v>2.0515715999999999</v>
      </c>
      <c r="K14" s="39">
        <f>SUMIFS(TB_FNB[Dec],TB_FNB[MIS_Group1],$B14)/10^5</f>
        <v>2.0470760000000001</v>
      </c>
      <c r="L14" s="39">
        <f>SUMIFS(TB_FNB[Jan],TB_FNB[MIS_Group1],$B14)/10^5</f>
        <v>2.0881595000000002</v>
      </c>
      <c r="M14" s="39">
        <f>SUMIFS(TB_FNB[Feb],TB_FNB[MIS_Group1],$B14)/10^5</f>
        <v>1.7279420999999999</v>
      </c>
      <c r="N14" s="134">
        <f>SUMIFS(TB_FNB[Mar],TB_FNB[MIS_Group1],$B14)/10^5</f>
        <v>1.9516513</v>
      </c>
      <c r="O14" s="134">
        <f>SUM(C14:N14)</f>
        <v>22.540895900000002</v>
      </c>
      <c r="P14" s="134">
        <v>24.210000025510773</v>
      </c>
      <c r="Q14" s="134"/>
      <c r="R14" s="134">
        <f>SUMIFS(TB_FNB[Apr_26],TB_FNB[MIS_Group1],$B14)/10^5</f>
        <v>2.3207233</v>
      </c>
      <c r="S14" s="134">
        <f>SUMIFS(TB_FNB!AA:AA,TB_FNB!J:J,PL_FNB!B14)/10^5</f>
        <v>1.9413678000000001</v>
      </c>
      <c r="T14" s="134"/>
      <c r="U14" s="149">
        <f t="shared" si="1"/>
        <v>0.48110576802799132</v>
      </c>
      <c r="V14" s="149">
        <f t="shared" si="2"/>
        <v>0.18910755215339958</v>
      </c>
      <c r="W14" s="149" t="str">
        <f t="shared" si="3"/>
        <v>-</v>
      </c>
    </row>
    <row r="15" spans="2:23" x14ac:dyDescent="0.35">
      <c r="B15" s="12" t="s">
        <v>288</v>
      </c>
      <c r="C15" s="134">
        <f>SUMIFS(TB_FNB[Apr],TB_FNB[MIS_Group1],$B15)/10^5</f>
        <v>0.97</v>
      </c>
      <c r="D15" s="39">
        <f>SUMIFS(TB_FNB[May],TB_FNB[MIS_Group1],$B15)/10^5</f>
        <v>0.97</v>
      </c>
      <c r="E15" s="39">
        <f>SUMIFS(TB_FNB[Jun],TB_FNB[MIS_Group1],$B15)/10^5</f>
        <v>1.3953</v>
      </c>
      <c r="F15" s="39">
        <f>SUMIFS(TB_FNB[Jul],TB_FNB[MIS_Group1],$B15)/10^5</f>
        <v>1.1214200000000001</v>
      </c>
      <c r="G15" s="39">
        <f>SUMIFS(TB_FNB[Aug],TB_FNB[MIS_Group1],$B15)/10^5</f>
        <v>1.2333400000000001</v>
      </c>
      <c r="H15" s="39">
        <f>SUMIFS(TB_FNB[Sep],TB_FNB[MIS_Group1],$B15)/10^5</f>
        <v>1.1220000000000001</v>
      </c>
      <c r="I15" s="39">
        <f>SUMIFS(TB_FNB[Oct],TB_FNB[MIS_Group1],$B15)/10^5</f>
        <v>1.1983132999999999</v>
      </c>
      <c r="J15" s="39">
        <f>SUMIFS(TB_FNB[Nov],TB_FNB[MIS_Group1],$B15)/10^5</f>
        <v>1.97916</v>
      </c>
      <c r="K15" s="39">
        <f>SUMIFS(TB_FNB[Dec],TB_FNB[MIS_Group1],$B15)/10^5</f>
        <v>0.67</v>
      </c>
      <c r="L15" s="39">
        <f>SUMIFS(TB_FNB[Jan],TB_FNB[MIS_Group1],$B15)/10^5</f>
        <v>1.6797814000000002</v>
      </c>
      <c r="M15" s="39">
        <f>SUMIFS(TB_FNB[Feb],TB_FNB[MIS_Group1],$B15)/10^5</f>
        <v>1.4361841</v>
      </c>
      <c r="N15" s="134">
        <f>SUMIFS(TB_FNB[Mar],TB_FNB[MIS_Group1],$B15)/10^5</f>
        <v>1.4419200000000001</v>
      </c>
      <c r="O15" s="134">
        <f t="shared" si="4"/>
        <v>15.217418800000001</v>
      </c>
      <c r="P15" s="134">
        <v>1.4142632029808346</v>
      </c>
      <c r="Q15" s="134"/>
      <c r="R15" s="134">
        <f>SUMIFS(TB_FNB[Apr_26],TB_FNB[MIS_Group1],$B15)/10^5</f>
        <v>2.5005999999999999</v>
      </c>
      <c r="S15" s="134">
        <f>SUMIFS(TB_FNB!AA:AA,TB_FNB!J:J,PL_FNB!B15)/10^5</f>
        <v>1.0855999999999999</v>
      </c>
      <c r="T15" s="134"/>
      <c r="U15" s="149">
        <f t="shared" si="1"/>
        <v>1.577938144329897</v>
      </c>
      <c r="V15" s="149">
        <f t="shared" si="2"/>
        <v>0.73421549045716805</v>
      </c>
      <c r="W15" s="149" t="str">
        <f t="shared" si="3"/>
        <v>-</v>
      </c>
    </row>
    <row r="16" spans="2:23" x14ac:dyDescent="0.35">
      <c r="B16" s="12" t="s">
        <v>289</v>
      </c>
      <c r="C16" s="134">
        <f>SUMIFS(TB_FNB[Apr],TB_FNB[MIS_Group1],$B16)/10^5</f>
        <v>7.5370699999999999</v>
      </c>
      <c r="D16" s="39">
        <f>SUMIFS(TB_FNB[May],TB_FNB[MIS_Group1],$B16)/10^5</f>
        <v>6.5936300000000001</v>
      </c>
      <c r="E16" s="39">
        <f>SUMIFS(TB_FNB[Jun],TB_FNB[MIS_Group1],$B16)/10^5</f>
        <v>7.2918900000000004</v>
      </c>
      <c r="F16" s="39">
        <f>SUMIFS(TB_FNB[Jul],TB_FNB[MIS_Group1],$B16)/10^5</f>
        <v>7.4179000000000004</v>
      </c>
      <c r="G16" s="39">
        <f>SUMIFS(TB_FNB[Aug],TB_FNB[MIS_Group1],$B16)/10^5</f>
        <v>10.983375000000001</v>
      </c>
      <c r="H16" s="39">
        <f>SUMIFS(TB_FNB[Sep],TB_FNB[MIS_Group1],$B16)/10^5</f>
        <v>7.1557599999999999</v>
      </c>
      <c r="I16" s="39">
        <f>SUMIFS(TB_FNB[Oct],TB_FNB[MIS_Group1],$B16)/10^5</f>
        <v>7.9823899999999997</v>
      </c>
      <c r="J16" s="39">
        <f>SUMIFS(TB_FNB[Nov],TB_FNB[MIS_Group1],$B16)/10^5</f>
        <v>7.3538500000000004</v>
      </c>
      <c r="K16" s="39">
        <f>SUMIFS(TB_FNB[Dec],TB_FNB[MIS_Group1],$B16)/10^5</f>
        <v>8.0969899999999999</v>
      </c>
      <c r="L16" s="39">
        <f>SUMIFS(TB_FNB[Jan],TB_FNB[MIS_Group1],$B16)/10^5</f>
        <v>9.1282899999999998</v>
      </c>
      <c r="M16" s="39">
        <f>SUMIFS(TB_FNB[Feb],TB_FNB[MIS_Group1],$B16)/10^5</f>
        <v>7.7471750000000004</v>
      </c>
      <c r="N16" s="134">
        <f>SUMIFS(TB_FNB[Mar],TB_FNB[MIS_Group1],$B16)/10^5</f>
        <v>7.6565899999999996</v>
      </c>
      <c r="O16" s="134">
        <f t="shared" si="4"/>
        <v>94.944909999999993</v>
      </c>
      <c r="P16" s="134">
        <v>103.02262360596733</v>
      </c>
      <c r="Q16" s="134"/>
      <c r="R16" s="134">
        <f>SUMIFS(TB_FNB[Apr_26],TB_FNB[MIS_Group1],$B16)/10^5</f>
        <v>7.24932</v>
      </c>
      <c r="S16" s="134">
        <f>SUMIFS(TB_FNB!AA:AA,TB_FNB!J:J,PL_FNB!B16)/10^5</f>
        <v>8.4109840000000009</v>
      </c>
      <c r="T16" s="134"/>
      <c r="U16" s="149">
        <f t="shared" si="1"/>
        <v>-3.8177965708159789E-2</v>
      </c>
      <c r="V16" s="149">
        <f t="shared" si="2"/>
        <v>-5.3192086816716055E-2</v>
      </c>
      <c r="W16" s="149" t="str">
        <f t="shared" si="3"/>
        <v>-</v>
      </c>
    </row>
    <row r="17" spans="2:23" x14ac:dyDescent="0.35">
      <c r="B17" s="12" t="s">
        <v>301</v>
      </c>
      <c r="C17" s="134">
        <f>SUMIFS(TB_FNB[Apr],TB_FNB[MIS_Group1],$B17)/10^5</f>
        <v>-3.7109999999999997E-4</v>
      </c>
      <c r="D17" s="39">
        <f>SUMIFS(TB_FNB[May],TB_FNB[MIS_Group1],$B17)/10^5</f>
        <v>-4.8000000000000001E-4</v>
      </c>
      <c r="E17" s="39">
        <f>SUMIFS(TB_FNB[Jun],TB_FNB[MIS_Group1],$B17)/10^5</f>
        <v>3.4904899999999996E-2</v>
      </c>
      <c r="F17" s="39">
        <f>SUMIFS(TB_FNB[Jul],TB_FNB[MIS_Group1],$B17)/10^5</f>
        <v>-1.9999000000000002E-3</v>
      </c>
      <c r="G17" s="39">
        <f>SUMIFS(TB_FNB[Aug],TB_FNB[MIS_Group1],$B17)/10^5</f>
        <v>-9.0239999999999993E-4</v>
      </c>
      <c r="H17" s="39">
        <f>SUMIFS(TB_FNB[Sep],TB_FNB[MIS_Group1],$B17)/10^5</f>
        <v>-1.189E-4</v>
      </c>
      <c r="I17" s="39">
        <f>SUMIFS(TB_FNB[Oct],TB_FNB[MIS_Group1],$B17)/10^5</f>
        <v>4.1200000000000004E-3</v>
      </c>
      <c r="J17" s="39">
        <f>SUMIFS(TB_FNB[Nov],TB_FNB[MIS_Group1],$B17)/10^5</f>
        <v>3.3347600000000005E-2</v>
      </c>
      <c r="K17" s="39">
        <f>SUMIFS(TB_FNB[Dec],TB_FNB[MIS_Group1],$B17)/10^5</f>
        <v>0</v>
      </c>
      <c r="L17" s="39">
        <f>SUMIFS(TB_FNB[Jan],TB_FNB[MIS_Group1],$B17)/10^5</f>
        <v>-3.3300000000000003E-5</v>
      </c>
      <c r="M17" s="39">
        <f>SUMIFS(TB_FNB[Feb],TB_FNB[MIS_Group1],$B17)/10^5</f>
        <v>-5.9000000000000004E-5</v>
      </c>
      <c r="N17" s="134">
        <f>SUMIFS(TB_FNB[Mar],TB_FNB[MIS_Group1],$B17)/10^5</f>
        <v>0</v>
      </c>
      <c r="O17" s="134">
        <f t="shared" si="4"/>
        <v>6.8407899999999994E-2</v>
      </c>
      <c r="P17" s="134">
        <v>7.3473355632911561E-2</v>
      </c>
      <c r="Q17" s="134"/>
      <c r="R17" s="134">
        <f>SUMIFS(TB_FNB[Apr_26],TB_FNB[MIS_Group1],$B17)/10^5</f>
        <v>0</v>
      </c>
      <c r="S17" s="134">
        <f>SUMIFS(TB_FNB!AA:AA,TB_FNB!J:J,PL_FNB!B17)/10^5</f>
        <v>-7.4989999999999996E-4</v>
      </c>
      <c r="T17" s="134"/>
      <c r="U17" s="149">
        <f t="shared" si="1"/>
        <v>-1</v>
      </c>
      <c r="V17" s="149" t="str">
        <f t="shared" si="2"/>
        <v>-</v>
      </c>
      <c r="W17" s="149" t="str">
        <f t="shared" si="3"/>
        <v>-</v>
      </c>
    </row>
    <row r="18" spans="2:23" x14ac:dyDescent="0.35">
      <c r="B18" s="12" t="s">
        <v>302</v>
      </c>
      <c r="C18" s="134">
        <f>SUMIFS(TB_FNB[Apr],TB_FNB[MIS_Group1],$B18)/10^5</f>
        <v>0</v>
      </c>
      <c r="D18" s="39">
        <f>SUMIFS(TB_FNB[May],TB_FNB[MIS_Group1],$B18)/10^5</f>
        <v>0</v>
      </c>
      <c r="E18" s="39">
        <f>SUMIFS(TB_FNB[Jun],TB_FNB[MIS_Group1],$B18)/10^5</f>
        <v>0</v>
      </c>
      <c r="F18" s="39">
        <f>SUMIFS(TB_FNB[Jul],TB_FNB[MIS_Group1],$B18)/10^5</f>
        <v>0.39483000000000001</v>
      </c>
      <c r="G18" s="39">
        <f>SUMIFS(TB_FNB[Aug],TB_FNB[MIS_Group1],$B18)/10^5</f>
        <v>1.1318442</v>
      </c>
      <c r="H18" s="39">
        <f>SUMIFS(TB_FNB[Sep],TB_FNB[MIS_Group1],$B18)/10^5</f>
        <v>2.6314000000000001E-2</v>
      </c>
      <c r="I18" s="39">
        <f>SUMIFS(TB_FNB[Oct],TB_FNB[MIS_Group1],$B18)/10^5</f>
        <v>4.1200000000000004E-3</v>
      </c>
      <c r="J18" s="39">
        <f>SUMIFS(TB_FNB[Nov],TB_FNB[MIS_Group1],$B18)/10^5</f>
        <v>4.1200000000000004E-3</v>
      </c>
      <c r="K18" s="39">
        <f>SUMIFS(TB_FNB[Dec],TB_FNB[MIS_Group1],$B18)/10^5</f>
        <v>4.0400000000000002E-3</v>
      </c>
      <c r="L18" s="39">
        <f>SUMIFS(TB_FNB[Jan],TB_FNB[MIS_Group1],$B18)/10^5</f>
        <v>0.24851000000000001</v>
      </c>
      <c r="M18" s="39">
        <f>SUMIFS(TB_FNB[Feb],TB_FNB[MIS_Group1],$B18)/10^5</f>
        <v>0</v>
      </c>
      <c r="N18" s="134">
        <f>SUMIFS(TB_FNB[Mar],TB_FNB[MIS_Group1],$B18)/10^5</f>
        <v>5.629E-2</v>
      </c>
      <c r="O18" s="134">
        <f t="shared" si="4"/>
        <v>1.8700681999999997</v>
      </c>
      <c r="P18" s="134">
        <v>2.0085426670954489</v>
      </c>
      <c r="Q18" s="134"/>
      <c r="R18" s="134">
        <f>SUMIFS(TB_FNB[Apr_26],TB_FNB[MIS_Group1],$B18)/10^5</f>
        <v>5.2040000000000003E-2</v>
      </c>
      <c r="S18" s="134">
        <f>SUMIFS(TB_FNB!AA:AA,TB_FNB!J:J,PL_FNB!B18)/10^5</f>
        <v>8.2600000000000007E-2</v>
      </c>
      <c r="T18" s="134"/>
      <c r="U18" s="149" t="str">
        <f t="shared" si="1"/>
        <v>-</v>
      </c>
      <c r="V18" s="149">
        <f t="shared" si="2"/>
        <v>-7.5501865340202423E-2</v>
      </c>
      <c r="W18" s="149" t="str">
        <f t="shared" si="3"/>
        <v>-</v>
      </c>
    </row>
    <row r="19" spans="2:23" x14ac:dyDescent="0.35">
      <c r="B19" s="12" t="s">
        <v>325</v>
      </c>
      <c r="C19" s="134">
        <f>SUMIFS(TB_FNB[Apr],TB_FNB[MIS_Group1],$B19)/10^5</f>
        <v>10.824719999999999</v>
      </c>
      <c r="D19" s="39">
        <f>SUMIFS(TB_FNB[May],TB_FNB[MIS_Group1],$B19)/10^5</f>
        <v>10.645064</v>
      </c>
      <c r="E19" s="39">
        <f>SUMIFS(TB_FNB[Jun],TB_FNB[MIS_Group1],$B19)/10^5</f>
        <v>10.767340000000001</v>
      </c>
      <c r="F19" s="39">
        <f>SUMIFS(TB_FNB[Jul],TB_FNB[MIS_Group1],$B19)/10^5</f>
        <v>11.316551100000002</v>
      </c>
      <c r="G19" s="39">
        <f>SUMIFS(TB_FNB[Aug],TB_FNB[MIS_Group1],$B19)/10^5</f>
        <v>12.645440000000001</v>
      </c>
      <c r="H19" s="39">
        <f>SUMIFS(TB_FNB[Sep],TB_FNB[MIS_Group1],$B19)/10^5</f>
        <v>14.00137</v>
      </c>
      <c r="I19" s="39">
        <f>SUMIFS(TB_FNB[Oct],TB_FNB[MIS_Group1],$B19)/10^5</f>
        <v>11.67487</v>
      </c>
      <c r="J19" s="39">
        <f>SUMIFS(TB_FNB[Nov],TB_FNB[MIS_Group1],$B19)/10^5</f>
        <v>11.49497</v>
      </c>
      <c r="K19" s="39">
        <f>SUMIFS(TB_FNB[Dec],TB_FNB[MIS_Group1],$B19)/10^5</f>
        <v>12.32704</v>
      </c>
      <c r="L19" s="39">
        <f>SUMIFS(TB_FNB[Jan],TB_FNB[MIS_Group1],$B19)/10^5</f>
        <v>12.804790199999999</v>
      </c>
      <c r="M19" s="39">
        <f>SUMIFS(TB_FNB[Feb],TB_FNB[MIS_Group1],$B19)/10^5</f>
        <v>12.578272500000001</v>
      </c>
      <c r="N19" s="134">
        <f>SUMIFS(TB_FNB[Mar],TB_FNB[MIS_Group1],$B19)/10^5</f>
        <v>10.664429999999999</v>
      </c>
      <c r="O19" s="134">
        <f t="shared" si="4"/>
        <v>141.74485780000001</v>
      </c>
      <c r="P19" s="134">
        <v>152.24075503378819</v>
      </c>
      <c r="Q19" s="134"/>
      <c r="R19" s="134">
        <f>SUMIFS(TB_FNB[Apr_26],TB_FNB[MIS_Group1],$B19)/10^5</f>
        <v>12.526093999999999</v>
      </c>
      <c r="S19" s="134">
        <f>SUMIFS(TB_FNB!AA:AA,TB_FNB!J:J,PL_FNB!B19)/10^5</f>
        <v>12.2429142</v>
      </c>
      <c r="T19" s="134"/>
      <c r="U19" s="149">
        <f t="shared" si="1"/>
        <v>0.15717487380735951</v>
      </c>
      <c r="V19" s="149">
        <f t="shared" si="2"/>
        <v>0.17456760464459875</v>
      </c>
      <c r="W19" s="149" t="str">
        <f t="shared" si="3"/>
        <v>-</v>
      </c>
    </row>
    <row r="20" spans="2:23" x14ac:dyDescent="0.35">
      <c r="B20" s="12" t="s">
        <v>270</v>
      </c>
      <c r="C20" s="134">
        <f>SUMIFS(TB_FNB[Apr],TB_FNB[MIS_Group1],$B20)/10^5</f>
        <v>7.0000000000000007E-2</v>
      </c>
      <c r="D20" s="39">
        <f>SUMIFS(TB_FNB[May],TB_FNB[MIS_Group1],$B20)/10^5</f>
        <v>1.6199999999999999E-2</v>
      </c>
      <c r="E20" s="39">
        <f>SUMIFS(TB_FNB[Jun],TB_FNB[MIS_Group1],$B20)/10^5</f>
        <v>0</v>
      </c>
      <c r="F20" s="39">
        <f>SUMIFS(TB_FNB[Jul],TB_FNB[MIS_Group1],$B20)/10^5</f>
        <v>0</v>
      </c>
      <c r="G20" s="39">
        <f>SUMIFS(TB_FNB[Aug],TB_FNB[MIS_Group1],$B20)/10^5</f>
        <v>0</v>
      </c>
      <c r="H20" s="39">
        <f>SUMIFS(TB_FNB[Sep],TB_FNB[MIS_Group1],$B20)/10^5</f>
        <v>0</v>
      </c>
      <c r="I20" s="39">
        <f>SUMIFS(TB_FNB[Oct],TB_FNB[MIS_Group1],$B20)/10^5</f>
        <v>0</v>
      </c>
      <c r="J20" s="39">
        <f>SUMIFS(TB_FNB[Nov],TB_FNB[MIS_Group1],$B20)/10^5</f>
        <v>0</v>
      </c>
      <c r="K20" s="39">
        <f>SUMIFS(TB_FNB[Dec],TB_FNB[MIS_Group1],$B20)/10^5</f>
        <v>0</v>
      </c>
      <c r="L20" s="39">
        <f>SUMIFS(TB_FNB[Jan],TB_FNB[MIS_Group1],$B20)/10^5</f>
        <v>0</v>
      </c>
      <c r="M20" s="39">
        <f>SUMIFS(TB_FNB[Feb],TB_FNB[MIS_Group1],$B20)/10^5</f>
        <v>0</v>
      </c>
      <c r="N20" s="134">
        <f>SUMIFS(TB_FNB[Mar],TB_FNB[MIS_Group1],$B20)/10^5</f>
        <v>0</v>
      </c>
      <c r="O20" s="134">
        <f>SUM(C20:N20)</f>
        <v>8.6199999999999999E-2</v>
      </c>
      <c r="P20" s="134">
        <v>9.2582921790567707E-2</v>
      </c>
      <c r="Q20" s="134"/>
      <c r="R20" s="134">
        <f>SUMIFS(TB_FNB[Apr_26],TB_FNB[MIS_Group1],$B20)/10^5</f>
        <v>0.36923</v>
      </c>
      <c r="S20" s="134">
        <f>SUMIFS(TB_FNB!AA:AA,TB_FNB!J:J,PL_FNB!B20)/10^5</f>
        <v>0</v>
      </c>
      <c r="T20" s="134"/>
      <c r="U20" s="149">
        <f t="shared" si="1"/>
        <v>4.2747142857142855</v>
      </c>
      <c r="V20" s="149" t="str">
        <f t="shared" si="2"/>
        <v>-</v>
      </c>
      <c r="W20" s="149" t="str">
        <f t="shared" si="3"/>
        <v>-</v>
      </c>
    </row>
    <row r="21" spans="2:23" x14ac:dyDescent="0.35">
      <c r="B21" s="22" t="s">
        <v>492</v>
      </c>
      <c r="C21" s="124">
        <f t="shared" ref="C21:Q21" si="5">SUM(C11:C20)</f>
        <v>124.67324088962029</v>
      </c>
      <c r="D21" s="41">
        <f t="shared" si="5"/>
        <v>124.80088761472031</v>
      </c>
      <c r="E21" s="41">
        <f t="shared" si="5"/>
        <v>123.0082851896203</v>
      </c>
      <c r="F21" s="41">
        <f t="shared" si="5"/>
        <v>131.25163451472031</v>
      </c>
      <c r="G21" s="41">
        <f t="shared" si="5"/>
        <v>142.30545751472027</v>
      </c>
      <c r="H21" s="41">
        <f t="shared" si="5"/>
        <v>127.13669868962027</v>
      </c>
      <c r="I21" s="41">
        <f t="shared" si="5"/>
        <v>131.83706501472031</v>
      </c>
      <c r="J21" s="41">
        <f t="shared" si="5"/>
        <v>127.43457008962027</v>
      </c>
      <c r="K21" s="41">
        <f t="shared" si="5"/>
        <v>131.6356507147203</v>
      </c>
      <c r="L21" s="41">
        <f t="shared" si="5"/>
        <v>140.24192291472031</v>
      </c>
      <c r="M21" s="41">
        <f t="shared" si="5"/>
        <v>128.41905633942034</v>
      </c>
      <c r="N21" s="124">
        <f t="shared" si="5"/>
        <v>124.89526941472026</v>
      </c>
      <c r="O21" s="124">
        <f t="shared" si="5"/>
        <v>1557.6397389009435</v>
      </c>
      <c r="P21" s="124">
        <f t="shared" si="5"/>
        <v>1678.4569593317126</v>
      </c>
      <c r="Q21" s="124">
        <f t="shared" si="5"/>
        <v>0</v>
      </c>
      <c r="R21" s="124">
        <f>SUM(R11:R20)</f>
        <v>146.8245931447203</v>
      </c>
      <c r="S21" s="124">
        <f>SUM(S11:S20)</f>
        <v>164.8116893147203</v>
      </c>
      <c r="T21" s="124"/>
      <c r="U21" s="152">
        <f>IFERROR(R21/C21-1,"-")</f>
        <v>0.17767527415696005</v>
      </c>
      <c r="V21" s="152">
        <f>IFERROR(R21/N21-1,"-")</f>
        <v>0.17558170003367168</v>
      </c>
      <c r="W21" s="152" t="str">
        <f>IFERROR(R21/T21,"-")</f>
        <v>-</v>
      </c>
    </row>
    <row r="22" spans="2:23" ht="4.5" customHeight="1" x14ac:dyDescent="0.35">
      <c r="C22" s="134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134"/>
      <c r="O22" s="134"/>
      <c r="P22" s="134"/>
      <c r="Q22" s="134"/>
      <c r="R22" s="134"/>
      <c r="S22" s="134"/>
      <c r="T22" s="134"/>
      <c r="U22" s="134"/>
      <c r="V22" s="134"/>
      <c r="W22" s="134"/>
    </row>
    <row r="23" spans="2:23" x14ac:dyDescent="0.35">
      <c r="B23" s="8" t="s">
        <v>331</v>
      </c>
      <c r="C23" s="135">
        <f t="shared" ref="C23:Q23" si="6">C9-C21</f>
        <v>8.7818793103796935</v>
      </c>
      <c r="D23" s="40">
        <f t="shared" si="6"/>
        <v>16.866367285279708</v>
      </c>
      <c r="E23" s="40">
        <f t="shared" si="6"/>
        <v>8.2436412103797068</v>
      </c>
      <c r="F23" s="40">
        <f t="shared" si="6"/>
        <v>22.136083985279697</v>
      </c>
      <c r="G23" s="40">
        <f t="shared" si="6"/>
        <v>10.660120685279736</v>
      </c>
      <c r="H23" s="40">
        <f t="shared" si="6"/>
        <v>20.796449810379741</v>
      </c>
      <c r="I23" s="40">
        <f t="shared" si="6"/>
        <v>15.041264485279697</v>
      </c>
      <c r="J23" s="40">
        <f t="shared" si="6"/>
        <v>10.241918110379757</v>
      </c>
      <c r="K23" s="40">
        <f t="shared" si="6"/>
        <v>10.160976585279684</v>
      </c>
      <c r="L23" s="40">
        <f t="shared" si="6"/>
        <v>15.330992885279642</v>
      </c>
      <c r="M23" s="40">
        <f t="shared" si="6"/>
        <v>13.681707160579663</v>
      </c>
      <c r="N23" s="135">
        <f t="shared" si="6"/>
        <v>9.2199679852797232</v>
      </c>
      <c r="O23" s="135">
        <f t="shared" si="6"/>
        <v>161.16136949905695</v>
      </c>
      <c r="P23" s="135">
        <f t="shared" si="6"/>
        <v>174.84650662028753</v>
      </c>
      <c r="Q23" s="135">
        <f t="shared" si="6"/>
        <v>0</v>
      </c>
      <c r="R23" s="135">
        <f>R9-R21</f>
        <v>9.2053300552797168</v>
      </c>
      <c r="S23" s="135">
        <f>S9-S21</f>
        <v>2.3655948852797337</v>
      </c>
      <c r="T23" s="135"/>
      <c r="U23" s="153">
        <f t="shared" ref="U23:U29" si="7">IFERROR(R23/C23-1,"-")</f>
        <v>4.8218693281235181E-2</v>
      </c>
      <c r="V23" s="153">
        <f t="shared" ref="V23:V29" si="8">IFERROR(R23/N23-1,"-")</f>
        <v>-1.5876334954065818E-3</v>
      </c>
      <c r="W23" s="153" t="str">
        <f t="shared" ref="W23:W29" si="9">IFERROR(R23/T23,"-")</f>
        <v>-</v>
      </c>
    </row>
    <row r="24" spans="2:23" x14ac:dyDescent="0.35">
      <c r="B24" s="12" t="s">
        <v>332</v>
      </c>
      <c r="C24" s="134">
        <v>8.4979979896091304</v>
      </c>
      <c r="D24" s="39">
        <f>((Depr.!$H$16/PL_Consol!$P$15)*$O$9)/12</f>
        <v>0.61438430404189603</v>
      </c>
      <c r="E24" s="39">
        <f>((Depr.!$H$16/PL_Consol!$P$15)*$O$9)/12</f>
        <v>0.61438430404189603</v>
      </c>
      <c r="F24" s="39">
        <f>((Depr.!$H$16/PL_Consol!$P$15)*$O$9)/12</f>
        <v>0.61438430404189603</v>
      </c>
      <c r="G24" s="39">
        <f>((Depr.!$H$16/PL_Consol!$P$15)*$O$9)/12</f>
        <v>0.61438430404189603</v>
      </c>
      <c r="H24" s="39">
        <f>((Depr.!$H$16/PL_Consol!$P$15)*$O$9)/12</f>
        <v>0.61438430404189603</v>
      </c>
      <c r="I24" s="39">
        <f>((Depr.!$H$16/PL_Consol!$P$15)*$O$9)/12</f>
        <v>0.61438430404189603</v>
      </c>
      <c r="J24" s="39">
        <f>((Depr.!$H$16/PL_Consol!$P$15)*$O$9)/12</f>
        <v>0.61438430404189603</v>
      </c>
      <c r="K24" s="39">
        <f>((Depr.!$H$16/PL_Consol!$P$15)*$O$9)/12</f>
        <v>0.61438430404189603</v>
      </c>
      <c r="L24" s="39">
        <f>((Depr.!$H$16/PL_Consol!$P$15)*$O$9)/12</f>
        <v>0.61438430404189603</v>
      </c>
      <c r="M24" s="39">
        <f>((Depr.!$H$16/PL_Consol!$P$15)*$O$9)/12</f>
        <v>0.61438430404189603</v>
      </c>
      <c r="N24" s="134">
        <v>8.4979979896091304</v>
      </c>
      <c r="O24" s="134">
        <f>SUM(C24:N24)</f>
        <v>23.139839019637229</v>
      </c>
      <c r="P24" s="134">
        <v>33.052772549947484</v>
      </c>
      <c r="Q24" s="134"/>
      <c r="R24" s="134">
        <f>Depr.!$H$16/(PL_Kochi!$R$15+PL_Calicut!$R$11+PL_FNB!R9)*PL_FNB!R9</f>
        <v>7.1975239033886629</v>
      </c>
      <c r="S24" s="134">
        <f>Depr.!H16/PL_Consol!T15*PL_FNB!S9</f>
        <v>7.4502630950046003</v>
      </c>
      <c r="T24" s="134"/>
      <c r="U24" s="149">
        <f t="shared" si="7"/>
        <v>-0.15303299527848957</v>
      </c>
      <c r="V24" s="149">
        <f t="shared" si="8"/>
        <v>-0.15303299527848957</v>
      </c>
      <c r="W24" s="149" t="str">
        <f t="shared" si="9"/>
        <v>-</v>
      </c>
    </row>
    <row r="25" spans="2:23" x14ac:dyDescent="0.35">
      <c r="B25" s="8" t="s">
        <v>336</v>
      </c>
      <c r="C25" s="135">
        <f>C23-C24</f>
        <v>0.28388132077056305</v>
      </c>
      <c r="D25" s="40">
        <f t="shared" ref="D25:O25" si="10">D23-D24</f>
        <v>16.251982981237813</v>
      </c>
      <c r="E25" s="40">
        <f t="shared" si="10"/>
        <v>7.6292569063378108</v>
      </c>
      <c r="F25" s="40">
        <f t="shared" si="10"/>
        <v>21.521699681237802</v>
      </c>
      <c r="G25" s="40">
        <f t="shared" si="10"/>
        <v>10.045736381237839</v>
      </c>
      <c r="H25" s="40">
        <f t="shared" si="10"/>
        <v>20.182065506337846</v>
      </c>
      <c r="I25" s="40">
        <f t="shared" si="10"/>
        <v>14.4268801812378</v>
      </c>
      <c r="J25" s="40">
        <f t="shared" si="10"/>
        <v>9.6275338063378602</v>
      </c>
      <c r="K25" s="40">
        <f t="shared" si="10"/>
        <v>9.5465922812377872</v>
      </c>
      <c r="L25" s="40">
        <f t="shared" si="10"/>
        <v>14.716608581237745</v>
      </c>
      <c r="M25" s="40">
        <f t="shared" si="10"/>
        <v>13.067322856537766</v>
      </c>
      <c r="N25" s="135">
        <f t="shared" si="10"/>
        <v>0.72196999567059272</v>
      </c>
      <c r="O25" s="135">
        <f t="shared" si="10"/>
        <v>138.02153047941971</v>
      </c>
      <c r="P25" s="135">
        <f>P23-P24</f>
        <v>141.79373407034004</v>
      </c>
      <c r="Q25" s="135">
        <f>Q23-Q24</f>
        <v>0</v>
      </c>
      <c r="R25" s="135">
        <f>R23-R24</f>
        <v>2.0078061518910539</v>
      </c>
      <c r="S25" s="135">
        <f>S23-S24</f>
        <v>-5.0846682097248665</v>
      </c>
      <c r="T25" s="135"/>
      <c r="U25" s="153">
        <f t="shared" si="7"/>
        <v>6.0726955420705249</v>
      </c>
      <c r="V25" s="153">
        <f t="shared" si="8"/>
        <v>1.7810105183472738</v>
      </c>
      <c r="W25" s="153" t="str">
        <f t="shared" si="9"/>
        <v>-</v>
      </c>
    </row>
    <row r="26" spans="2:23" x14ac:dyDescent="0.35">
      <c r="B26" s="12" t="s">
        <v>204</v>
      </c>
      <c r="C26" s="134">
        <f>SUMIFS(TB_FNB[Apr],TB_FNB[MIS_Group1],$B26)/10^5</f>
        <v>1.12795E-2</v>
      </c>
      <c r="D26" s="39">
        <f>SUMIFS(TB_FNB[May],TB_FNB[MIS_Group1],$B26)/10^5</f>
        <v>1.2586999999999997E-2</v>
      </c>
      <c r="E26" s="39">
        <f>SUMIFS(TB_FNB[Jun],TB_FNB[MIS_Group1],$B26)/10^5</f>
        <v>7.2924000000000001E-3</v>
      </c>
      <c r="F26" s="39">
        <f>SUMIFS(TB_FNB[Jul],TB_FNB[MIS_Group1],$B26)/10^5</f>
        <v>0</v>
      </c>
      <c r="G26" s="39">
        <f>SUMIFS(TB_FNB[Aug],TB_FNB[MIS_Group1],$B26)/10^5</f>
        <v>4.1280000000000001E-4</v>
      </c>
      <c r="H26" s="39">
        <f>SUMIFS(TB_FNB[Sep],TB_FNB[MIS_Group1],$B26)/10^5</f>
        <v>0</v>
      </c>
      <c r="I26" s="39">
        <f>SUMIFS(TB_FNB[Oct],TB_FNB[MIS_Group1],$B26)/10^5</f>
        <v>4.4530000000000004E-4</v>
      </c>
      <c r="J26" s="39">
        <f>SUMIFS(TB_FNB[Nov],TB_FNB[MIS_Group1],$B26)/10^5</f>
        <v>2.7469799999999999E-2</v>
      </c>
      <c r="K26" s="39">
        <f>SUMIFS(TB_FNB[Dec],TB_FNB[MIS_Group1],$B26)/10^5</f>
        <v>0</v>
      </c>
      <c r="L26" s="39">
        <f>SUMIFS(TB_FNB[Jan],TB_FNB[MIS_Group1],$B26)/10^5</f>
        <v>3.9127999999999996E-2</v>
      </c>
      <c r="M26" s="39">
        <f>SUMIFS(TB_FNB[Feb],TB_FNB[MIS_Group1],$B26)/10^5</f>
        <v>4.4749200000000003E-2</v>
      </c>
      <c r="N26" s="134">
        <f>SUMIFS(TB_FNB[Mar],TB_FNB[MIS_Group1],$B26)/10^5</f>
        <v>2.0192600000000002E-2</v>
      </c>
      <c r="O26" s="134">
        <f>SUM(C26:N26)</f>
        <v>0.1635566</v>
      </c>
      <c r="P26" s="134">
        <v>3.2112288000000003E-2</v>
      </c>
      <c r="Q26" s="134"/>
      <c r="R26" s="134">
        <f>SUMIFS(TB_FNB[Apr_26],TB_FNB[MIS_Group1],$B26)/10^5</f>
        <v>0</v>
      </c>
      <c r="S26" s="134">
        <f>SUMIFS(TB_FNB[Apr_26],TB_FNB[MIS_Group1],$B26)/10^5</f>
        <v>0</v>
      </c>
      <c r="T26" s="134"/>
      <c r="U26" s="149">
        <f t="shared" si="7"/>
        <v>-1</v>
      </c>
      <c r="V26" s="149">
        <f t="shared" si="8"/>
        <v>-1</v>
      </c>
      <c r="W26" s="149" t="str">
        <f t="shared" si="9"/>
        <v>-</v>
      </c>
    </row>
    <row r="27" spans="2:23" x14ac:dyDescent="0.35">
      <c r="B27" s="27" t="s">
        <v>333</v>
      </c>
      <c r="C27" s="135">
        <f>C25-C26</f>
        <v>0.27260182077056305</v>
      </c>
      <c r="D27" s="40">
        <f t="shared" ref="D27:O27" si="11">D25-D26</f>
        <v>16.239395981237813</v>
      </c>
      <c r="E27" s="40">
        <f t="shared" si="11"/>
        <v>7.621964506337811</v>
      </c>
      <c r="F27" s="40">
        <f t="shared" si="11"/>
        <v>21.521699681237802</v>
      </c>
      <c r="G27" s="40">
        <f t="shared" si="11"/>
        <v>10.04532358123784</v>
      </c>
      <c r="H27" s="40">
        <f t="shared" si="11"/>
        <v>20.182065506337846</v>
      </c>
      <c r="I27" s="40">
        <f t="shared" si="11"/>
        <v>14.4264348812378</v>
      </c>
      <c r="J27" s="40">
        <f t="shared" si="11"/>
        <v>9.6000640063378597</v>
      </c>
      <c r="K27" s="40">
        <f t="shared" si="11"/>
        <v>9.5465922812377872</v>
      </c>
      <c r="L27" s="40">
        <f t="shared" si="11"/>
        <v>14.677480581237745</v>
      </c>
      <c r="M27" s="40">
        <f t="shared" si="11"/>
        <v>13.022573656537766</v>
      </c>
      <c r="N27" s="135">
        <f t="shared" si="11"/>
        <v>0.70177739567059272</v>
      </c>
      <c r="O27" s="135">
        <f t="shared" si="11"/>
        <v>137.85797387941972</v>
      </c>
      <c r="P27" s="135">
        <f>P25-P26</f>
        <v>141.76162178234003</v>
      </c>
      <c r="Q27" s="135">
        <f>Q25-Q26</f>
        <v>0</v>
      </c>
      <c r="R27" s="135">
        <f>R25-R26</f>
        <v>2.0078061518910539</v>
      </c>
      <c r="S27" s="135">
        <f>S25-S26</f>
        <v>-5.0846682097248665</v>
      </c>
      <c r="T27" s="135"/>
      <c r="U27" s="153">
        <f t="shared" si="7"/>
        <v>6.3653438785390062</v>
      </c>
      <c r="V27" s="153">
        <f t="shared" si="8"/>
        <v>1.8610299566181783</v>
      </c>
      <c r="W27" s="153" t="str">
        <f t="shared" si="9"/>
        <v>-</v>
      </c>
    </row>
    <row r="28" spans="2:23" x14ac:dyDescent="0.35">
      <c r="B28" s="12" t="s">
        <v>334</v>
      </c>
      <c r="C28" s="134">
        <f>IF(C27&gt;0,C27*PL_Consol!$Q$44/PL_Consol!$Q$43,0)</f>
        <v>6.8608426251535334E-2</v>
      </c>
      <c r="D28" s="39">
        <f>IF(D27&gt;0,D27*PL_Consol!$Q$44/PL_Consol!$Q$43,0)</f>
        <v>4.0871311805579342</v>
      </c>
      <c r="E28" s="39">
        <f>IF(E27&gt;0,E27*PL_Consol!$Q$44/PL_Consol!$Q$43,0)</f>
        <v>1.9182960269551008</v>
      </c>
      <c r="F28" s="39">
        <f>IF(F27&gt;0,F27*PL_Consol!$Q$44/PL_Consol!$Q$43,0)</f>
        <v>5.4165813757739318</v>
      </c>
      <c r="G28" s="39">
        <f>IF(G27&gt;0,G27*PL_Consol!$Q$44/PL_Consol!$Q$43,0)</f>
        <v>2.5282070389259403</v>
      </c>
      <c r="H28" s="39">
        <f>IF(H27&gt;0,H27*PL_Consol!$Q$44/PL_Consol!$Q$43,0)</f>
        <v>5.0794222466351107</v>
      </c>
      <c r="I28" s="39">
        <f>IF(I27&gt;0,I27*PL_Consol!$Q$44/PL_Consol!$Q$43,0)</f>
        <v>3.6308451309099303</v>
      </c>
      <c r="J28" s="39">
        <f>IF(J27&gt;0,J27*PL_Consol!$Q$44/PL_Consol!$Q$43,0)</f>
        <v>2.416144109115113</v>
      </c>
      <c r="K28" s="39">
        <f>IF(K27&gt;0,K27*PL_Consol!$Q$44/PL_Consol!$Q$43,0)</f>
        <v>2.4026863453419272</v>
      </c>
      <c r="L28" s="39">
        <f>IF(L27&gt;0,L27*PL_Consol!$Q$44/PL_Consol!$Q$43,0)</f>
        <v>3.6940283126859166</v>
      </c>
      <c r="M28" s="39">
        <f>IF(M27&gt;0,M27*PL_Consol!$Q$44/PL_Consol!$Q$43,0)</f>
        <v>3.2775213378774257</v>
      </c>
      <c r="N28" s="134">
        <f>IF(N27&gt;0,N27*PL_Consol!$Q$44/PL_Consol!$Q$43,0)</f>
        <v>0.17662333494237484</v>
      </c>
      <c r="O28" s="134">
        <f>SUM(C28:N28)</f>
        <v>34.696094865972242</v>
      </c>
      <c r="P28" s="134">
        <f>IF(P27&gt;0,P27*PL_Consol!$Q$44/PL_Consol!$Q$43,0)</f>
        <v>35.678564970179345</v>
      </c>
      <c r="Q28" s="134"/>
      <c r="R28" s="134">
        <f>IF(R27&gt;0,R27*PL_Consol!$Q$44/PL_Consol!$Q$43,0)</f>
        <v>0.50532465230794055</v>
      </c>
      <c r="S28" s="134">
        <f>IF(S27&gt;0,S27*PL_Consol!$Q$44/PL_Consol!$Q$43,0)</f>
        <v>0</v>
      </c>
      <c r="T28" s="134"/>
      <c r="U28" s="149">
        <f t="shared" si="7"/>
        <v>6.3653438785390053</v>
      </c>
      <c r="V28" s="149">
        <f t="shared" si="8"/>
        <v>1.8610299566181778</v>
      </c>
      <c r="W28" s="149" t="str">
        <f t="shared" si="9"/>
        <v>-</v>
      </c>
    </row>
    <row r="29" spans="2:23" x14ac:dyDescent="0.35">
      <c r="B29" s="44" t="s">
        <v>335</v>
      </c>
      <c r="C29" s="136">
        <f>C27-C28</f>
        <v>0.2039933945190277</v>
      </c>
      <c r="D29" s="45">
        <f t="shared" ref="D29:O29" si="12">D27-D28</f>
        <v>12.152264800679879</v>
      </c>
      <c r="E29" s="45">
        <f t="shared" si="12"/>
        <v>5.7036684793827099</v>
      </c>
      <c r="F29" s="45">
        <f t="shared" si="12"/>
        <v>16.105118305463868</v>
      </c>
      <c r="G29" s="45">
        <f t="shared" si="12"/>
        <v>7.5171165423119</v>
      </c>
      <c r="H29" s="45">
        <f t="shared" si="12"/>
        <v>15.102643259702734</v>
      </c>
      <c r="I29" s="45">
        <f t="shared" si="12"/>
        <v>10.795589750327869</v>
      </c>
      <c r="J29" s="45">
        <f t="shared" si="12"/>
        <v>7.1839198972227472</v>
      </c>
      <c r="K29" s="45">
        <f t="shared" si="12"/>
        <v>7.1439059358958605</v>
      </c>
      <c r="L29" s="45">
        <f t="shared" si="12"/>
        <v>10.983452268551829</v>
      </c>
      <c r="M29" s="45">
        <f t="shared" si="12"/>
        <v>9.7450523186603402</v>
      </c>
      <c r="N29" s="136">
        <f t="shared" si="12"/>
        <v>0.52515406072821791</v>
      </c>
      <c r="O29" s="136">
        <f t="shared" si="12"/>
        <v>103.16187901344748</v>
      </c>
      <c r="P29" s="136">
        <f>P27-P28</f>
        <v>106.08305681216069</v>
      </c>
      <c r="Q29" s="136">
        <f>Q27-Q28</f>
        <v>0</v>
      </c>
      <c r="R29" s="136">
        <f>R27-R28</f>
        <v>1.5024814995831135</v>
      </c>
      <c r="S29" s="136">
        <f>S27-S28</f>
        <v>-5.0846682097248665</v>
      </c>
      <c r="T29" s="136"/>
      <c r="U29" s="154">
        <f t="shared" si="7"/>
        <v>6.365343878539008</v>
      </c>
      <c r="V29" s="154">
        <f t="shared" si="8"/>
        <v>1.8610299566181783</v>
      </c>
      <c r="W29" s="154" t="str">
        <f t="shared" si="9"/>
        <v>-</v>
      </c>
    </row>
    <row r="30" spans="2:23" x14ac:dyDescent="0.35">
      <c r="B30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39"/>
      <c r="Q30" s="39"/>
    </row>
    <row r="31" spans="2:23" x14ac:dyDescent="0.35">
      <c r="B31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40"/>
      <c r="P31" s="39"/>
      <c r="Q31" s="39"/>
    </row>
    <row r="32" spans="2:23" ht="15" thickBot="1" x14ac:dyDescent="0.4">
      <c r="B32" s="30" t="s">
        <v>612</v>
      </c>
      <c r="C32" s="30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0"/>
      <c r="O32" s="40"/>
      <c r="P32" s="39"/>
      <c r="Q32" s="39"/>
      <c r="R32" s="30"/>
      <c r="S32" s="30"/>
      <c r="T32" s="30"/>
    </row>
    <row r="33" spans="2:20" ht="13.25" customHeight="1" x14ac:dyDescent="0.35">
      <c r="H33" s="39"/>
      <c r="I33" s="39"/>
      <c r="J33" s="39"/>
      <c r="K33" s="39"/>
      <c r="L33" s="39"/>
      <c r="M33" s="39"/>
      <c r="N33" s="39"/>
      <c r="O33" s="39"/>
      <c r="T33" s="138" t="s">
        <v>613</v>
      </c>
    </row>
    <row r="34" spans="2:20" x14ac:dyDescent="0.35">
      <c r="B34" s="33" t="s">
        <v>466</v>
      </c>
      <c r="C34" s="132">
        <v>45748</v>
      </c>
      <c r="D34" s="132">
        <v>45778</v>
      </c>
      <c r="E34" s="132">
        <v>45809</v>
      </c>
      <c r="F34" s="132">
        <v>45839</v>
      </c>
      <c r="G34" s="132">
        <v>45870</v>
      </c>
      <c r="H34" s="132">
        <v>45901</v>
      </c>
      <c r="I34" s="132">
        <v>45931</v>
      </c>
      <c r="J34" s="132">
        <v>45962</v>
      </c>
      <c r="K34" s="132">
        <v>45992</v>
      </c>
      <c r="L34" s="132">
        <v>46023</v>
      </c>
      <c r="M34" s="132">
        <v>46054</v>
      </c>
      <c r="N34" s="132">
        <v>46082</v>
      </c>
      <c r="O34" s="34" t="s">
        <v>219</v>
      </c>
      <c r="P34" s="34" t="s">
        <v>613</v>
      </c>
      <c r="Q34" s="34" t="s">
        <v>614</v>
      </c>
      <c r="R34" s="132">
        <v>46113</v>
      </c>
      <c r="S34" s="132"/>
      <c r="T34" s="132">
        <v>46113</v>
      </c>
    </row>
    <row r="35" spans="2:20" x14ac:dyDescent="0.35">
      <c r="B35" s="8" t="s">
        <v>220</v>
      </c>
      <c r="O35" s="95"/>
      <c r="Q35" s="101"/>
    </row>
    <row r="36" spans="2:20" x14ac:dyDescent="0.35">
      <c r="B36" s="12" t="s">
        <v>508</v>
      </c>
      <c r="C36" s="51">
        <f>IFERROR(C7/C$9,0)</f>
        <v>1</v>
      </c>
      <c r="D36" s="51">
        <f t="shared" ref="D36:Q36" si="13">IFERROR(D7/D$9,0)</f>
        <v>1</v>
      </c>
      <c r="E36" s="51">
        <f t="shared" si="13"/>
        <v>0.99911193684392285</v>
      </c>
      <c r="F36" s="51">
        <f t="shared" si="13"/>
        <v>0.99962982694732494</v>
      </c>
      <c r="G36" s="51">
        <f t="shared" si="13"/>
        <v>1</v>
      </c>
      <c r="H36" s="51">
        <f t="shared" si="13"/>
        <v>0.99879770016522018</v>
      </c>
      <c r="I36" s="51">
        <f t="shared" si="13"/>
        <v>1</v>
      </c>
      <c r="J36" s="51">
        <f t="shared" si="13"/>
        <v>0.99936721221510649</v>
      </c>
      <c r="K36" s="51">
        <f t="shared" si="13"/>
        <v>1</v>
      </c>
      <c r="L36" s="51">
        <f t="shared" si="13"/>
        <v>0.99936814194492329</v>
      </c>
      <c r="M36" s="51">
        <f t="shared" si="13"/>
        <v>1</v>
      </c>
      <c r="N36" s="51">
        <f t="shared" si="13"/>
        <v>0.99934533911506174</v>
      </c>
      <c r="O36" s="114">
        <f t="shared" si="13"/>
        <v>0.99963671189357017</v>
      </c>
      <c r="P36" s="51">
        <f t="shared" si="13"/>
        <v>0.99733375699189031</v>
      </c>
      <c r="Q36" s="104">
        <f t="shared" si="13"/>
        <v>0</v>
      </c>
      <c r="R36" s="51">
        <f t="shared" ref="R36:T58" si="14">IFERROR(R7/R$9,0)</f>
        <v>1</v>
      </c>
      <c r="S36" s="51"/>
      <c r="T36" s="51">
        <f t="shared" si="14"/>
        <v>0</v>
      </c>
    </row>
    <row r="37" spans="2:20" x14ac:dyDescent="0.35">
      <c r="B37" s="12" t="s">
        <v>222</v>
      </c>
      <c r="C37" s="51">
        <f t="shared" ref="C37:Q37" si="15">IFERROR(C8/C$9,0)</f>
        <v>0</v>
      </c>
      <c r="D37" s="51">
        <f t="shared" si="15"/>
        <v>0</v>
      </c>
      <c r="E37" s="51">
        <f t="shared" si="15"/>
        <v>8.8806315607722766E-4</v>
      </c>
      <c r="F37" s="51">
        <f t="shared" si="15"/>
        <v>3.7017305267500927E-4</v>
      </c>
      <c r="G37" s="51">
        <f t="shared" si="15"/>
        <v>0</v>
      </c>
      <c r="H37" s="51">
        <f t="shared" si="15"/>
        <v>1.2022998347797618E-3</v>
      </c>
      <c r="I37" s="51">
        <f t="shared" si="15"/>
        <v>0</v>
      </c>
      <c r="J37" s="51">
        <f t="shared" si="15"/>
        <v>6.3278778489354284E-4</v>
      </c>
      <c r="K37" s="51">
        <f t="shared" si="15"/>
        <v>0</v>
      </c>
      <c r="L37" s="51">
        <f t="shared" si="15"/>
        <v>6.3185805507670525E-4</v>
      </c>
      <c r="M37" s="51">
        <f t="shared" si="15"/>
        <v>0</v>
      </c>
      <c r="N37" s="51">
        <f t="shared" si="15"/>
        <v>6.5466088493834347E-4</v>
      </c>
      <c r="O37" s="114">
        <f t="shared" si="15"/>
        <v>3.6328810642975479E-4</v>
      </c>
      <c r="P37" s="51">
        <f t="shared" si="15"/>
        <v>2.6662430081097039E-3</v>
      </c>
      <c r="Q37" s="104">
        <f t="shared" si="15"/>
        <v>0</v>
      </c>
      <c r="R37" s="51">
        <f t="shared" si="14"/>
        <v>0</v>
      </c>
      <c r="S37" s="51"/>
      <c r="T37" s="51">
        <f t="shared" si="14"/>
        <v>0</v>
      </c>
    </row>
    <row r="38" spans="2:20" x14ac:dyDescent="0.35">
      <c r="B38" s="26" t="s">
        <v>223</v>
      </c>
      <c r="C38" s="79">
        <f t="shared" ref="C38:Q38" si="16">IFERROR(C9/C$9,0)</f>
        <v>1</v>
      </c>
      <c r="D38" s="79">
        <f t="shared" si="16"/>
        <v>1</v>
      </c>
      <c r="E38" s="79">
        <f t="shared" si="16"/>
        <v>1</v>
      </c>
      <c r="F38" s="79">
        <f t="shared" si="16"/>
        <v>1</v>
      </c>
      <c r="G38" s="79">
        <f t="shared" si="16"/>
        <v>1</v>
      </c>
      <c r="H38" s="79">
        <f t="shared" si="16"/>
        <v>1</v>
      </c>
      <c r="I38" s="79">
        <f t="shared" si="16"/>
        <v>1</v>
      </c>
      <c r="J38" s="79">
        <f t="shared" si="16"/>
        <v>1</v>
      </c>
      <c r="K38" s="79">
        <f t="shared" si="16"/>
        <v>1</v>
      </c>
      <c r="L38" s="79">
        <f t="shared" si="16"/>
        <v>1</v>
      </c>
      <c r="M38" s="79">
        <f t="shared" si="16"/>
        <v>1</v>
      </c>
      <c r="N38" s="79">
        <f t="shared" si="16"/>
        <v>1</v>
      </c>
      <c r="O38" s="79">
        <f t="shared" si="16"/>
        <v>1</v>
      </c>
      <c r="P38" s="79">
        <f t="shared" si="16"/>
        <v>1</v>
      </c>
      <c r="Q38" s="79">
        <f t="shared" si="16"/>
        <v>0</v>
      </c>
      <c r="R38" s="79">
        <f t="shared" si="14"/>
        <v>1</v>
      </c>
      <c r="S38" s="79"/>
      <c r="T38" s="79">
        <f t="shared" si="14"/>
        <v>0</v>
      </c>
    </row>
    <row r="39" spans="2:20" x14ac:dyDescent="0.35">
      <c r="C39" s="51">
        <f t="shared" ref="C39:Q39" si="17">IFERROR(C10/C$9,0)</f>
        <v>0</v>
      </c>
      <c r="D39" s="51">
        <f t="shared" si="17"/>
        <v>0</v>
      </c>
      <c r="E39" s="51">
        <f t="shared" si="17"/>
        <v>0</v>
      </c>
      <c r="F39" s="51">
        <f t="shared" si="17"/>
        <v>0</v>
      </c>
      <c r="G39" s="51">
        <f t="shared" si="17"/>
        <v>0</v>
      </c>
      <c r="H39" s="51">
        <f t="shared" si="17"/>
        <v>0</v>
      </c>
      <c r="I39" s="51">
        <f t="shared" si="17"/>
        <v>0</v>
      </c>
      <c r="J39" s="51">
        <f t="shared" si="17"/>
        <v>0</v>
      </c>
      <c r="K39" s="51">
        <f t="shared" si="17"/>
        <v>0</v>
      </c>
      <c r="L39" s="51">
        <f t="shared" si="17"/>
        <v>0</v>
      </c>
      <c r="M39" s="51">
        <f t="shared" si="17"/>
        <v>0</v>
      </c>
      <c r="N39" s="51">
        <f t="shared" si="17"/>
        <v>0</v>
      </c>
      <c r="O39" s="99">
        <f t="shared" si="17"/>
        <v>0</v>
      </c>
      <c r="P39" s="51">
        <f t="shared" si="17"/>
        <v>0</v>
      </c>
      <c r="Q39" s="104">
        <f t="shared" si="17"/>
        <v>0</v>
      </c>
      <c r="R39" s="51">
        <f t="shared" si="14"/>
        <v>0</v>
      </c>
      <c r="S39" s="51"/>
      <c r="T39" s="51">
        <f t="shared" si="14"/>
        <v>0</v>
      </c>
    </row>
    <row r="40" spans="2:20" x14ac:dyDescent="0.35">
      <c r="B40" s="12" t="s">
        <v>268</v>
      </c>
      <c r="C40" s="51">
        <f t="shared" ref="C40:Q40" si="18">IFERROR(C11/C$9,0)</f>
        <v>0.58496543993971095</v>
      </c>
      <c r="D40" s="51">
        <f t="shared" si="18"/>
        <v>0.55598245872412955</v>
      </c>
      <c r="E40" s="51">
        <f t="shared" si="18"/>
        <v>0.5788289793817456</v>
      </c>
      <c r="F40" s="51">
        <f t="shared" si="18"/>
        <v>0.53795446471811237</v>
      </c>
      <c r="G40" s="51">
        <f t="shared" si="18"/>
        <v>0.57697667565839317</v>
      </c>
      <c r="H40" s="51">
        <f t="shared" si="18"/>
        <v>0.52643196193448138</v>
      </c>
      <c r="I40" s="51">
        <f t="shared" si="18"/>
        <v>0.55679236398178134</v>
      </c>
      <c r="J40" s="51">
        <f t="shared" si="18"/>
        <v>0.57095135580310352</v>
      </c>
      <c r="K40" s="51">
        <f t="shared" si="18"/>
        <v>0.58945067165218812</v>
      </c>
      <c r="L40" s="51">
        <f t="shared" si="18"/>
        <v>0.56612501184476771</v>
      </c>
      <c r="M40" s="51">
        <f t="shared" si="18"/>
        <v>0.56082660949249596</v>
      </c>
      <c r="N40" s="51">
        <f t="shared" si="18"/>
        <v>0.57609611180541365</v>
      </c>
      <c r="O40" s="114">
        <f t="shared" si="18"/>
        <v>0.56461086402450444</v>
      </c>
      <c r="P40" s="51">
        <f t="shared" si="18"/>
        <v>0.57052201713981243</v>
      </c>
      <c r="Q40" s="104">
        <f t="shared" si="18"/>
        <v>0</v>
      </c>
      <c r="R40" s="51">
        <f t="shared" si="14"/>
        <v>0.61111553825337006</v>
      </c>
      <c r="S40" s="51"/>
      <c r="T40" s="51">
        <f t="shared" si="14"/>
        <v>0</v>
      </c>
    </row>
    <row r="41" spans="2:20" x14ac:dyDescent="0.35">
      <c r="B41" s="12" t="s">
        <v>272</v>
      </c>
      <c r="C41" s="51">
        <f t="shared" ref="C41:Q41" si="19">IFERROR(C12/C$9,0)</f>
        <v>0.14108947268866417</v>
      </c>
      <c r="D41" s="51">
        <f t="shared" si="19"/>
        <v>0.13334085247825533</v>
      </c>
      <c r="E41" s="51">
        <f t="shared" si="19"/>
        <v>0.14529731532092999</v>
      </c>
      <c r="F41" s="51">
        <f t="shared" si="19"/>
        <v>0.12539692502578226</v>
      </c>
      <c r="G41" s="51">
        <f t="shared" si="19"/>
        <v>0.12378740864080422</v>
      </c>
      <c r="H41" s="51">
        <f t="shared" si="19"/>
        <v>0.12532385556993869</v>
      </c>
      <c r="I41" s="51">
        <f t="shared" si="19"/>
        <v>0.13886481760823877</v>
      </c>
      <c r="J41" s="51">
        <f t="shared" si="19"/>
        <v>0.13874396991352292</v>
      </c>
      <c r="K41" s="51">
        <f t="shared" si="19"/>
        <v>0.1257521273682671</v>
      </c>
      <c r="L41" s="51">
        <f t="shared" si="19"/>
        <v>0.12315943580598687</v>
      </c>
      <c r="M41" s="51">
        <f t="shared" si="19"/>
        <v>0.13286633422360392</v>
      </c>
      <c r="N41" s="51">
        <f t="shared" si="19"/>
        <v>0.14008771785255997</v>
      </c>
      <c r="O41" s="114">
        <f t="shared" si="19"/>
        <v>0.13245082861935367</v>
      </c>
      <c r="P41" s="51">
        <f t="shared" si="19"/>
        <v>0.13817975690465698</v>
      </c>
      <c r="Q41" s="104">
        <f t="shared" si="19"/>
        <v>0</v>
      </c>
      <c r="R41" s="51">
        <f t="shared" si="14"/>
        <v>0.12567539696526808</v>
      </c>
      <c r="S41" s="51"/>
      <c r="T41" s="51">
        <f t="shared" si="14"/>
        <v>0</v>
      </c>
    </row>
    <row r="42" spans="2:20" x14ac:dyDescent="0.35">
      <c r="B42" s="12" t="s">
        <v>278</v>
      </c>
      <c r="C42" s="51">
        <f t="shared" ref="C42:Q42" si="20">IFERROR(C13/C$9,0)</f>
        <v>5.1022326777687782E-2</v>
      </c>
      <c r="D42" s="51">
        <f t="shared" si="20"/>
        <v>4.9848243216718109E-2</v>
      </c>
      <c r="E42" s="51">
        <f t="shared" si="20"/>
        <v>5.1878787152033763E-2</v>
      </c>
      <c r="F42" s="51">
        <f t="shared" si="20"/>
        <v>4.6069879956523382E-2</v>
      </c>
      <c r="G42" s="51">
        <f t="shared" si="20"/>
        <v>4.6129749327486286E-2</v>
      </c>
      <c r="H42" s="51">
        <f t="shared" si="20"/>
        <v>4.6028836822870706E-2</v>
      </c>
      <c r="I42" s="51">
        <f t="shared" si="20"/>
        <v>4.8142321622060662E-2</v>
      </c>
      <c r="J42" s="51">
        <f t="shared" si="20"/>
        <v>4.9457905572870359E-2</v>
      </c>
      <c r="K42" s="51">
        <f t="shared" si="20"/>
        <v>4.9910636894958095E-2</v>
      </c>
      <c r="L42" s="51">
        <f t="shared" si="20"/>
        <v>4.5370582288077187E-2</v>
      </c>
      <c r="M42" s="51">
        <f t="shared" si="20"/>
        <v>4.4723508489804845E-2</v>
      </c>
      <c r="N42" s="51">
        <f t="shared" si="20"/>
        <v>5.2739896787447373E-2</v>
      </c>
      <c r="O42" s="114">
        <f t="shared" si="20"/>
        <v>4.8322385851156342E-2</v>
      </c>
      <c r="P42" s="51">
        <f t="shared" si="20"/>
        <v>4.4221179025260959E-2</v>
      </c>
      <c r="Q42" s="104">
        <f t="shared" si="20"/>
        <v>0</v>
      </c>
      <c r="R42" s="51">
        <f t="shared" si="14"/>
        <v>4.3870769578767572E-2</v>
      </c>
      <c r="S42" s="51"/>
      <c r="T42" s="51">
        <f t="shared" si="14"/>
        <v>0</v>
      </c>
    </row>
    <row r="43" spans="2:20" x14ac:dyDescent="0.35">
      <c r="B43" s="12" t="s">
        <v>534</v>
      </c>
      <c r="C43" s="51">
        <f t="shared" ref="C43:Q43" si="21">IFERROR(C14/C$9,0)</f>
        <v>1.1740917828044489E-2</v>
      </c>
      <c r="D43" s="51">
        <f t="shared" si="21"/>
        <v>1.3129841481808791E-2</v>
      </c>
      <c r="E43" s="51">
        <f t="shared" si="21"/>
        <v>1.2698391907183465E-2</v>
      </c>
      <c r="F43" s="51">
        <f t="shared" si="21"/>
        <v>1.425422661854117E-2</v>
      </c>
      <c r="G43" s="51">
        <f t="shared" si="21"/>
        <v>1.3488744489314131E-2</v>
      </c>
      <c r="H43" s="51">
        <f t="shared" si="21"/>
        <v>1.0855529786821239E-2</v>
      </c>
      <c r="I43" s="51">
        <f t="shared" si="21"/>
        <v>1.1745934242804687E-2</v>
      </c>
      <c r="J43" s="51">
        <f t="shared" si="21"/>
        <v>1.4901394034831284E-2</v>
      </c>
      <c r="K43" s="51">
        <f t="shared" si="21"/>
        <v>1.4436704447624054E-2</v>
      </c>
      <c r="L43" s="51">
        <f t="shared" si="21"/>
        <v>1.3422384540792934E-2</v>
      </c>
      <c r="M43" s="51">
        <f t="shared" si="21"/>
        <v>1.2159977592238623E-2</v>
      </c>
      <c r="N43" s="51">
        <f t="shared" si="21"/>
        <v>1.4552047461834491E-2</v>
      </c>
      <c r="O43" s="114">
        <f t="shared" si="21"/>
        <v>1.3114313104546981E-2</v>
      </c>
      <c r="P43" s="51">
        <f t="shared" si="21"/>
        <v>1.3063160173325766E-2</v>
      </c>
      <c r="Q43" s="104">
        <f t="shared" si="21"/>
        <v>0</v>
      </c>
      <c r="R43" s="51">
        <f t="shared" si="14"/>
        <v>1.4873578429089426E-2</v>
      </c>
      <c r="S43" s="51"/>
      <c r="T43" s="51">
        <f t="shared" si="14"/>
        <v>0</v>
      </c>
    </row>
    <row r="44" spans="2:20" x14ac:dyDescent="0.35">
      <c r="B44" s="12" t="s">
        <v>288</v>
      </c>
      <c r="C44" s="51">
        <f t="shared" ref="C44:Q44" si="22">IFERROR(C15/C$9,0)</f>
        <v>7.2683610680978582E-3</v>
      </c>
      <c r="D44" s="51">
        <f t="shared" si="22"/>
        <v>6.8470303930481527E-3</v>
      </c>
      <c r="E44" s="51">
        <f t="shared" si="22"/>
        <v>1.0630701112513347E-2</v>
      </c>
      <c r="F44" s="51">
        <f t="shared" si="22"/>
        <v>7.3110155817331622E-3</v>
      </c>
      <c r="G44" s="51">
        <f t="shared" si="22"/>
        <v>8.0628597264374609E-3</v>
      </c>
      <c r="H44" s="51">
        <f t="shared" si="22"/>
        <v>7.5845069977673058E-3</v>
      </c>
      <c r="I44" s="51">
        <f t="shared" si="22"/>
        <v>8.1585439055527915E-3</v>
      </c>
      <c r="J44" s="51">
        <f t="shared" si="22"/>
        <v>1.4375439306128376E-2</v>
      </c>
      <c r="K44" s="51">
        <f t="shared" si="22"/>
        <v>4.7250771245953335E-3</v>
      </c>
      <c r="L44" s="51">
        <f t="shared" si="22"/>
        <v>1.079738970862691E-2</v>
      </c>
      <c r="M44" s="51">
        <f t="shared" si="22"/>
        <v>1.0106800728062238E-2</v>
      </c>
      <c r="N44" s="51">
        <f t="shared" si="22"/>
        <v>1.0751351061620685E-2</v>
      </c>
      <c r="O44" s="114">
        <f t="shared" si="22"/>
        <v>8.8535076720805753E-3</v>
      </c>
      <c r="P44" s="51">
        <f t="shared" si="22"/>
        <v>7.6310395408145403E-4</v>
      </c>
      <c r="Q44" s="104">
        <f t="shared" si="22"/>
        <v>0</v>
      </c>
      <c r="R44" s="51">
        <f t="shared" si="14"/>
        <v>1.6026413066900745E-2</v>
      </c>
      <c r="S44" s="51"/>
      <c r="T44" s="51">
        <f t="shared" si="14"/>
        <v>0</v>
      </c>
    </row>
    <row r="45" spans="2:20" x14ac:dyDescent="0.35">
      <c r="B45" s="12" t="s">
        <v>289</v>
      </c>
      <c r="C45" s="51">
        <f t="shared" ref="C45:Q45" si="23">IFERROR(C16/C$9,0)</f>
        <v>5.6476439335596214E-2</v>
      </c>
      <c r="D45" s="51">
        <f t="shared" si="23"/>
        <v>4.6543077330426903E-2</v>
      </c>
      <c r="E45" s="51">
        <f t="shared" si="23"/>
        <v>5.5556441722443173E-2</v>
      </c>
      <c r="F45" s="51">
        <f t="shared" si="23"/>
        <v>4.8360455925289744E-2</v>
      </c>
      <c r="G45" s="51">
        <f t="shared" si="23"/>
        <v>7.180291886086565E-2</v>
      </c>
      <c r="H45" s="51">
        <f t="shared" si="23"/>
        <v>4.8371579139343465E-2</v>
      </c>
      <c r="I45" s="51">
        <f t="shared" si="23"/>
        <v>5.434695524638302E-2</v>
      </c>
      <c r="J45" s="51">
        <f t="shared" si="23"/>
        <v>5.3413985903803723E-2</v>
      </c>
      <c r="K45" s="51">
        <f t="shared" si="23"/>
        <v>5.7102839144891289E-2</v>
      </c>
      <c r="L45" s="51">
        <f t="shared" si="23"/>
        <v>5.8675316028241484E-2</v>
      </c>
      <c r="M45" s="51">
        <f t="shared" si="23"/>
        <v>5.4518883707475652E-2</v>
      </c>
      <c r="N45" s="51">
        <f t="shared" si="23"/>
        <v>5.7089635364579387E-2</v>
      </c>
      <c r="O45" s="114">
        <f t="shared" si="23"/>
        <v>5.5239032332474125E-2</v>
      </c>
      <c r="P45" s="51">
        <f t="shared" si="23"/>
        <v>5.5588642388388849E-2</v>
      </c>
      <c r="Q45" s="104">
        <f t="shared" si="23"/>
        <v>0</v>
      </c>
      <c r="R45" s="51">
        <f t="shared" si="14"/>
        <v>4.6461088048526319E-2</v>
      </c>
      <c r="S45" s="51"/>
      <c r="T45" s="51">
        <f t="shared" si="14"/>
        <v>0</v>
      </c>
    </row>
    <row r="46" spans="2:20" x14ac:dyDescent="0.35">
      <c r="B46" s="12" t="s">
        <v>301</v>
      </c>
      <c r="C46" s="51">
        <f t="shared" ref="C46:Q46" si="24">IFERROR(C17/C$9,0)</f>
        <v>-2.7807100952279537E-6</v>
      </c>
      <c r="D46" s="51">
        <f t="shared" si="24"/>
        <v>-3.3882212254258901E-6</v>
      </c>
      <c r="E46" s="51">
        <f t="shared" si="24"/>
        <v>2.6593819197460555E-4</v>
      </c>
      <c r="F46" s="51">
        <f t="shared" si="24"/>
        <v>-1.3038201621076984E-5</v>
      </c>
      <c r="G46" s="51">
        <f t="shared" si="24"/>
        <v>-5.8993664497520259E-6</v>
      </c>
      <c r="H46" s="51">
        <f t="shared" si="24"/>
        <v>-8.0374142783826431E-7</v>
      </c>
      <c r="I46" s="51">
        <f t="shared" si="24"/>
        <v>2.8050427956426343E-5</v>
      </c>
      <c r="J46" s="51">
        <f t="shared" si="24"/>
        <v>2.422171021064728E-4</v>
      </c>
      <c r="K46" s="51">
        <f t="shared" si="24"/>
        <v>0</v>
      </c>
      <c r="L46" s="51">
        <f t="shared" si="24"/>
        <v>-2.1404754052954516E-7</v>
      </c>
      <c r="M46" s="51">
        <f t="shared" si="24"/>
        <v>-4.1519833213281789E-7</v>
      </c>
      <c r="N46" s="51">
        <f t="shared" si="24"/>
        <v>0</v>
      </c>
      <c r="O46" s="114">
        <f t="shared" si="24"/>
        <v>3.9799776521950009E-5</v>
      </c>
      <c r="P46" s="51">
        <f t="shared" si="24"/>
        <v>3.9644535815493098E-5</v>
      </c>
      <c r="Q46" s="104">
        <f t="shared" si="24"/>
        <v>0</v>
      </c>
      <c r="R46" s="51">
        <f t="shared" si="14"/>
        <v>0</v>
      </c>
      <c r="S46" s="51"/>
      <c r="T46" s="51">
        <f t="shared" si="14"/>
        <v>0</v>
      </c>
    </row>
    <row r="47" spans="2:20" x14ac:dyDescent="0.35">
      <c r="B47" s="12" t="s">
        <v>302</v>
      </c>
      <c r="C47" s="51">
        <f t="shared" ref="C47:Q47" si="25">IFERROR(C18/C$9,0)</f>
        <v>0</v>
      </c>
      <c r="D47" s="51">
        <f t="shared" si="25"/>
        <v>0</v>
      </c>
      <c r="E47" s="51">
        <f t="shared" si="25"/>
        <v>0</v>
      </c>
      <c r="F47" s="51">
        <f t="shared" si="25"/>
        <v>2.5740652762887271E-3</v>
      </c>
      <c r="G47" s="51">
        <f t="shared" si="25"/>
        <v>7.3993392063679327E-3</v>
      </c>
      <c r="H47" s="51">
        <f t="shared" si="25"/>
        <v>1.7787764450913446E-4</v>
      </c>
      <c r="I47" s="51">
        <f t="shared" si="25"/>
        <v>2.8050427956426343E-5</v>
      </c>
      <c r="J47" s="51">
        <f t="shared" si="25"/>
        <v>2.9925225823707491E-5</v>
      </c>
      <c r="K47" s="51">
        <f t="shared" si="25"/>
        <v>2.8491509825918128E-5</v>
      </c>
      <c r="L47" s="51">
        <f t="shared" si="25"/>
        <v>1.5973860149248427E-3</v>
      </c>
      <c r="M47" s="51">
        <f t="shared" si="25"/>
        <v>0</v>
      </c>
      <c r="N47" s="51">
        <f t="shared" si="25"/>
        <v>4.1971368124350057E-4</v>
      </c>
      <c r="O47" s="114">
        <f t="shared" si="25"/>
        <v>1.0880073272356747E-3</v>
      </c>
      <c r="P47" s="51">
        <f t="shared" si="25"/>
        <v>1.0837635087806335E-3</v>
      </c>
      <c r="Q47" s="104">
        <f t="shared" si="25"/>
        <v>0</v>
      </c>
      <c r="R47" s="51">
        <f t="shared" si="14"/>
        <v>3.3352576821623405E-4</v>
      </c>
      <c r="S47" s="51"/>
      <c r="T47" s="51">
        <f t="shared" si="14"/>
        <v>0</v>
      </c>
    </row>
    <row r="48" spans="2:20" x14ac:dyDescent="0.35">
      <c r="B48" s="12" t="s">
        <v>325</v>
      </c>
      <c r="C48" s="51">
        <f t="shared" ref="C48:Q48" si="26">IFERROR(C19/C$9,0)</f>
        <v>8.1111312805216745E-2</v>
      </c>
      <c r="D48" s="51">
        <f t="shared" si="26"/>
        <v>7.514131623086881E-2</v>
      </c>
      <c r="E48" s="51">
        <f t="shared" si="26"/>
        <v>8.2035672125571182E-2</v>
      </c>
      <c r="F48" s="51">
        <f t="shared" si="26"/>
        <v>7.3777426319826256E-2</v>
      </c>
      <c r="G48" s="51">
        <f t="shared" si="26"/>
        <v>8.2668533331507393E-2</v>
      </c>
      <c r="H48" s="51">
        <f t="shared" si="26"/>
        <v>9.4646603158047418E-2</v>
      </c>
      <c r="I48" s="51">
        <f t="shared" si="26"/>
        <v>7.9486674717389127E-2</v>
      </c>
      <c r="J48" s="51">
        <f t="shared" si="26"/>
        <v>8.3492614826879336E-2</v>
      </c>
      <c r="K48" s="51">
        <f t="shared" si="26"/>
        <v>8.6934648832793518E-2</v>
      </c>
      <c r="L48" s="51">
        <f t="shared" si="26"/>
        <v>8.2307322802006672E-2</v>
      </c>
      <c r="M48" s="51">
        <f t="shared" si="26"/>
        <v>8.8516572256137113E-2</v>
      </c>
      <c r="N48" s="51">
        <f t="shared" si="26"/>
        <v>7.9516915502995639E-2</v>
      </c>
      <c r="O48" s="114">
        <f t="shared" si="26"/>
        <v>8.2467283216932308E-2</v>
      </c>
      <c r="P48" s="51">
        <f t="shared" si="26"/>
        <v>8.2145616101562485E-2</v>
      </c>
      <c r="Q48" s="104">
        <f t="shared" si="26"/>
        <v>0</v>
      </c>
      <c r="R48" s="51">
        <f t="shared" si="14"/>
        <v>8.0280075405433499E-2</v>
      </c>
      <c r="S48" s="51"/>
      <c r="T48" s="51">
        <f t="shared" si="14"/>
        <v>0</v>
      </c>
    </row>
    <row r="49" spans="2:20" x14ac:dyDescent="0.35">
      <c r="B49" s="12" t="s">
        <v>270</v>
      </c>
      <c r="C49" s="51">
        <f t="shared" ref="C49:Q49" si="27">IFERROR(C20/C$9,0)</f>
        <v>5.2452090182149498E-4</v>
      </c>
      <c r="D49" s="51">
        <f t="shared" si="27"/>
        <v>1.1435246635812378E-4</v>
      </c>
      <c r="E49" s="51">
        <f t="shared" si="27"/>
        <v>0</v>
      </c>
      <c r="F49" s="51">
        <f t="shared" si="27"/>
        <v>0</v>
      </c>
      <c r="G49" s="51">
        <f t="shared" si="27"/>
        <v>0</v>
      </c>
      <c r="H49" s="51">
        <f t="shared" si="27"/>
        <v>0</v>
      </c>
      <c r="I49" s="51">
        <f t="shared" si="27"/>
        <v>0</v>
      </c>
      <c r="J49" s="51">
        <f t="shared" si="27"/>
        <v>0</v>
      </c>
      <c r="K49" s="51">
        <f t="shared" si="27"/>
        <v>0</v>
      </c>
      <c r="L49" s="51">
        <f t="shared" si="27"/>
        <v>0</v>
      </c>
      <c r="M49" s="51">
        <f t="shared" si="27"/>
        <v>0</v>
      </c>
      <c r="N49" s="51">
        <f t="shared" si="27"/>
        <v>0</v>
      </c>
      <c r="O49" s="114">
        <f t="shared" si="27"/>
        <v>5.0151235985786605E-5</v>
      </c>
      <c r="P49" s="51">
        <f t="shared" si="27"/>
        <v>4.995561897522808E-5</v>
      </c>
      <c r="Q49" s="104">
        <f t="shared" si="27"/>
        <v>0</v>
      </c>
      <c r="R49" s="51">
        <f t="shared" si="14"/>
        <v>2.3664050614619543E-3</v>
      </c>
      <c r="S49" s="51"/>
      <c r="T49" s="51">
        <f t="shared" si="14"/>
        <v>0</v>
      </c>
    </row>
    <row r="50" spans="2:20" x14ac:dyDescent="0.35">
      <c r="B50" s="22" t="s">
        <v>492</v>
      </c>
      <c r="C50" s="79">
        <f t="shared" ref="C50:Q50" si="28">IFERROR(C21/C$9,0)</f>
        <v>0.93419601063474444</v>
      </c>
      <c r="D50" s="79">
        <f t="shared" si="28"/>
        <v>0.88094378410038843</v>
      </c>
      <c r="E50" s="79">
        <f t="shared" si="28"/>
        <v>0.93719222691439519</v>
      </c>
      <c r="F50" s="79">
        <f t="shared" si="28"/>
        <v>0.85568542122047608</v>
      </c>
      <c r="G50" s="79">
        <f t="shared" si="28"/>
        <v>0.93031032987472639</v>
      </c>
      <c r="H50" s="79">
        <f t="shared" si="28"/>
        <v>0.85941994731235138</v>
      </c>
      <c r="I50" s="79">
        <f t="shared" si="28"/>
        <v>0.89759371218012318</v>
      </c>
      <c r="J50" s="79">
        <f t="shared" si="28"/>
        <v>0.9256088076890695</v>
      </c>
      <c r="K50" s="79">
        <f t="shared" si="28"/>
        <v>0.9283411969751435</v>
      </c>
      <c r="L50" s="79">
        <f t="shared" si="28"/>
        <v>0.90145461498588397</v>
      </c>
      <c r="M50" s="79">
        <f t="shared" si="28"/>
        <v>0.9037182712914863</v>
      </c>
      <c r="N50" s="79">
        <f t="shared" si="28"/>
        <v>0.93125338951769454</v>
      </c>
      <c r="O50" s="79">
        <f t="shared" si="28"/>
        <v>0.90623617316079175</v>
      </c>
      <c r="P50" s="79">
        <f t="shared" si="28"/>
        <v>0.90565683935066033</v>
      </c>
      <c r="Q50" s="79">
        <f t="shared" si="28"/>
        <v>0</v>
      </c>
      <c r="R50" s="79">
        <f t="shared" si="14"/>
        <v>0.94100279057703395</v>
      </c>
      <c r="S50" s="79"/>
      <c r="T50" s="79">
        <f t="shared" si="14"/>
        <v>0</v>
      </c>
    </row>
    <row r="51" spans="2:20" x14ac:dyDescent="0.35">
      <c r="C51" s="51">
        <f t="shared" ref="C51:Q51" si="29">IFERROR(C22/C$9,0)</f>
        <v>0</v>
      </c>
      <c r="D51" s="51">
        <f t="shared" si="29"/>
        <v>0</v>
      </c>
      <c r="E51" s="51">
        <f t="shared" si="29"/>
        <v>0</v>
      </c>
      <c r="F51" s="51">
        <f t="shared" si="29"/>
        <v>0</v>
      </c>
      <c r="G51" s="51">
        <f t="shared" si="29"/>
        <v>0</v>
      </c>
      <c r="H51" s="51">
        <f t="shared" si="29"/>
        <v>0</v>
      </c>
      <c r="I51" s="51">
        <f t="shared" si="29"/>
        <v>0</v>
      </c>
      <c r="J51" s="51">
        <f t="shared" si="29"/>
        <v>0</v>
      </c>
      <c r="K51" s="51">
        <f t="shared" si="29"/>
        <v>0</v>
      </c>
      <c r="L51" s="51">
        <f t="shared" si="29"/>
        <v>0</v>
      </c>
      <c r="M51" s="51">
        <f t="shared" si="29"/>
        <v>0</v>
      </c>
      <c r="N51" s="51">
        <f t="shared" si="29"/>
        <v>0</v>
      </c>
      <c r="O51" s="99">
        <f t="shared" si="29"/>
        <v>0</v>
      </c>
      <c r="P51" s="51">
        <f t="shared" si="29"/>
        <v>0</v>
      </c>
      <c r="Q51" s="104">
        <f t="shared" si="29"/>
        <v>0</v>
      </c>
      <c r="R51" s="51">
        <f t="shared" si="14"/>
        <v>0</v>
      </c>
      <c r="S51" s="51"/>
      <c r="T51" s="51">
        <f t="shared" si="14"/>
        <v>0</v>
      </c>
    </row>
    <row r="52" spans="2:20" x14ac:dyDescent="0.35">
      <c r="B52" s="8" t="s">
        <v>331</v>
      </c>
      <c r="C52" s="81">
        <f t="shared" ref="C52:Q52" si="30">IFERROR(C23/C$9,0)</f>
        <v>6.58039893652555E-2</v>
      </c>
      <c r="D52" s="81">
        <f t="shared" si="30"/>
        <v>0.11905621589961157</v>
      </c>
      <c r="E52" s="81">
        <f t="shared" si="30"/>
        <v>6.280777308560484E-2</v>
      </c>
      <c r="F52" s="81">
        <f t="shared" si="30"/>
        <v>0.14431457877952397</v>
      </c>
      <c r="G52" s="81">
        <f t="shared" si="30"/>
        <v>6.9689670125273551E-2</v>
      </c>
      <c r="H52" s="81">
        <f t="shared" si="30"/>
        <v>0.14058005268764856</v>
      </c>
      <c r="I52" s="81">
        <f t="shared" si="30"/>
        <v>0.10240628781987676</v>
      </c>
      <c r="J52" s="81">
        <f t="shared" si="30"/>
        <v>7.4391192310930512E-2</v>
      </c>
      <c r="K52" s="81">
        <f t="shared" si="30"/>
        <v>7.1658803024856471E-2</v>
      </c>
      <c r="L52" s="81">
        <f t="shared" si="30"/>
        <v>9.8545385014115985E-2</v>
      </c>
      <c r="M52" s="81">
        <f t="shared" si="30"/>
        <v>9.6281728708513675E-2</v>
      </c>
      <c r="N52" s="81">
        <f t="shared" si="30"/>
        <v>6.8746610482305459E-2</v>
      </c>
      <c r="O52" s="99">
        <f t="shared" si="30"/>
        <v>9.3763826839208309E-2</v>
      </c>
      <c r="P52" s="81">
        <f t="shared" si="30"/>
        <v>9.4343160649339647E-2</v>
      </c>
      <c r="Q52" s="105">
        <f t="shared" si="30"/>
        <v>0</v>
      </c>
      <c r="R52" s="81">
        <f t="shared" si="14"/>
        <v>5.8997209422966095E-2</v>
      </c>
      <c r="S52" s="81"/>
      <c r="T52" s="81">
        <f t="shared" si="14"/>
        <v>0</v>
      </c>
    </row>
    <row r="53" spans="2:20" x14ac:dyDescent="0.35">
      <c r="B53" s="12" t="s">
        <v>332</v>
      </c>
      <c r="C53" s="51">
        <f t="shared" ref="C53:Q53" si="31">IFERROR(C24/C$9,0)</f>
        <v>6.3676822416957601E-2</v>
      </c>
      <c r="D53" s="51">
        <f t="shared" si="31"/>
        <v>4.3368123740068036E-3</v>
      </c>
      <c r="E53" s="51">
        <f t="shared" si="31"/>
        <v>4.6809545649601682E-3</v>
      </c>
      <c r="F53" s="51">
        <f t="shared" si="31"/>
        <v>4.005433486135958E-3</v>
      </c>
      <c r="G53" s="51">
        <f t="shared" si="31"/>
        <v>4.0164873121886187E-3</v>
      </c>
      <c r="H53" s="51">
        <f t="shared" si="31"/>
        <v>4.1531212596471979E-3</v>
      </c>
      <c r="I53" s="51">
        <f t="shared" si="31"/>
        <v>4.1829472471083358E-3</v>
      </c>
      <c r="J53" s="51">
        <f t="shared" si="31"/>
        <v>4.462521611892015E-3</v>
      </c>
      <c r="K53" s="51">
        <f t="shared" si="31"/>
        <v>4.3328555533414725E-3</v>
      </c>
      <c r="L53" s="51">
        <f t="shared" si="31"/>
        <v>3.9491726492529768E-3</v>
      </c>
      <c r="M53" s="51">
        <f t="shared" si="31"/>
        <v>4.3235820055385985E-3</v>
      </c>
      <c r="N53" s="51">
        <f t="shared" si="31"/>
        <v>6.3363404146717275E-2</v>
      </c>
      <c r="O53" s="114">
        <f t="shared" si="31"/>
        <v>1.3462778739523661E-2</v>
      </c>
      <c r="P53" s="51">
        <f t="shared" si="31"/>
        <v>1.7834517205183677E-2</v>
      </c>
      <c r="Q53" s="104">
        <f t="shared" si="31"/>
        <v>0</v>
      </c>
      <c r="R53" s="51">
        <f t="shared" si="14"/>
        <v>4.6129125463728118E-2</v>
      </c>
      <c r="S53" s="51"/>
      <c r="T53" s="51">
        <f t="shared" si="14"/>
        <v>0</v>
      </c>
    </row>
    <row r="54" spans="2:20" x14ac:dyDescent="0.35">
      <c r="B54" s="8" t="s">
        <v>336</v>
      </c>
      <c r="C54" s="81">
        <f t="shared" ref="C54:Q54" si="32">IFERROR(C25/C$9,0)</f>
        <v>2.1271669482978975E-3</v>
      </c>
      <c r="D54" s="81">
        <f t="shared" si="32"/>
        <v>0.11471940352560478</v>
      </c>
      <c r="E54" s="81">
        <f t="shared" si="32"/>
        <v>5.812681852064467E-2</v>
      </c>
      <c r="F54" s="81">
        <f t="shared" si="32"/>
        <v>0.14030914529338803</v>
      </c>
      <c r="G54" s="81">
        <f t="shared" si="32"/>
        <v>6.5673182813084929E-2</v>
      </c>
      <c r="H54" s="81">
        <f t="shared" si="32"/>
        <v>0.13642693142800136</v>
      </c>
      <c r="I54" s="81">
        <f t="shared" si="32"/>
        <v>9.8223340572768422E-2</v>
      </c>
      <c r="J54" s="81">
        <f t="shared" si="32"/>
        <v>6.9928670699038492E-2</v>
      </c>
      <c r="K54" s="81">
        <f t="shared" si="32"/>
        <v>6.7325947471514991E-2</v>
      </c>
      <c r="L54" s="81">
        <f t="shared" si="32"/>
        <v>9.4596212364863E-2</v>
      </c>
      <c r="M54" s="81">
        <f t="shared" si="32"/>
        <v>9.1958146702975072E-2</v>
      </c>
      <c r="N54" s="81">
        <f t="shared" si="32"/>
        <v>5.3832063355881803E-3</v>
      </c>
      <c r="O54" s="99">
        <f t="shared" si="32"/>
        <v>8.0301048099684635E-2</v>
      </c>
      <c r="P54" s="81">
        <f t="shared" si="32"/>
        <v>7.6508643444155977E-2</v>
      </c>
      <c r="Q54" s="105">
        <f t="shared" si="32"/>
        <v>0</v>
      </c>
      <c r="R54" s="81">
        <f t="shared" si="14"/>
        <v>1.286808395923798E-2</v>
      </c>
      <c r="S54" s="81"/>
      <c r="T54" s="81">
        <f t="shared" si="14"/>
        <v>0</v>
      </c>
    </row>
    <row r="55" spans="2:20" x14ac:dyDescent="0.35">
      <c r="B55" s="12" t="s">
        <v>204</v>
      </c>
      <c r="C55" s="51">
        <f t="shared" ref="C55:Q55" si="33">IFERROR(C26/C$9,0)</f>
        <v>8.4519050172793608E-5</v>
      </c>
      <c r="D55" s="51">
        <f t="shared" si="33"/>
        <v>8.8849042842574312E-5</v>
      </c>
      <c r="E55" s="51">
        <f t="shared" si="33"/>
        <v>5.5560327379697797E-5</v>
      </c>
      <c r="F55" s="51">
        <f t="shared" si="33"/>
        <v>0</v>
      </c>
      <c r="G55" s="51">
        <f t="shared" si="33"/>
        <v>2.6986463546737991E-6</v>
      </c>
      <c r="H55" s="51">
        <f t="shared" si="33"/>
        <v>0</v>
      </c>
      <c r="I55" s="51">
        <f t="shared" si="33"/>
        <v>3.0317610604360802E-6</v>
      </c>
      <c r="J55" s="51">
        <f t="shared" si="33"/>
        <v>1.9952426415827183E-4</v>
      </c>
      <c r="K55" s="51">
        <f t="shared" si="33"/>
        <v>0</v>
      </c>
      <c r="L55" s="51">
        <f t="shared" si="33"/>
        <v>2.5150907404925048E-4</v>
      </c>
      <c r="M55" s="51">
        <f t="shared" si="33"/>
        <v>3.1491174922504905E-4</v>
      </c>
      <c r="N55" s="51">
        <f t="shared" si="33"/>
        <v>1.5056156475177669E-4</v>
      </c>
      <c r="O55" s="114">
        <f t="shared" si="33"/>
        <v>9.5157374056066175E-5</v>
      </c>
      <c r="P55" s="51">
        <f t="shared" si="33"/>
        <v>1.7327053334735251E-5</v>
      </c>
      <c r="Q55" s="104">
        <f t="shared" si="33"/>
        <v>0</v>
      </c>
      <c r="R55" s="51">
        <f t="shared" si="14"/>
        <v>0</v>
      </c>
      <c r="S55" s="51"/>
      <c r="T55" s="51">
        <f t="shared" si="14"/>
        <v>0</v>
      </c>
    </row>
    <row r="56" spans="2:20" x14ac:dyDescent="0.35">
      <c r="B56" s="27" t="s">
        <v>333</v>
      </c>
      <c r="C56" s="81">
        <f t="shared" ref="C56:Q56" si="34">IFERROR(C27/C$9,0)</f>
        <v>2.0426478981251037E-3</v>
      </c>
      <c r="D56" s="81">
        <f t="shared" si="34"/>
        <v>0.1146305544827622</v>
      </c>
      <c r="E56" s="81">
        <f t="shared" si="34"/>
        <v>5.8071258193264967E-2</v>
      </c>
      <c r="F56" s="81">
        <f t="shared" si="34"/>
        <v>0.14030914529338803</v>
      </c>
      <c r="G56" s="81">
        <f t="shared" si="34"/>
        <v>6.5670484166730256E-2</v>
      </c>
      <c r="H56" s="81">
        <f t="shared" si="34"/>
        <v>0.13642693142800136</v>
      </c>
      <c r="I56" s="81">
        <f t="shared" si="34"/>
        <v>9.8220308811707985E-2</v>
      </c>
      <c r="J56" s="81">
        <f t="shared" si="34"/>
        <v>6.9729146434880221E-2</v>
      </c>
      <c r="K56" s="81">
        <f t="shared" si="34"/>
        <v>6.7325947471514991E-2</v>
      </c>
      <c r="L56" s="81">
        <f t="shared" si="34"/>
        <v>9.434470329081375E-2</v>
      </c>
      <c r="M56" s="81">
        <f t="shared" si="34"/>
        <v>9.1643234953750027E-2</v>
      </c>
      <c r="N56" s="81">
        <f t="shared" si="34"/>
        <v>5.2326447708364032E-3</v>
      </c>
      <c r="O56" s="99">
        <f t="shared" si="34"/>
        <v>8.0205890725628573E-2</v>
      </c>
      <c r="P56" s="81">
        <f t="shared" si="34"/>
        <v>7.649131639082124E-2</v>
      </c>
      <c r="Q56" s="105">
        <f t="shared" si="34"/>
        <v>0</v>
      </c>
      <c r="R56" s="81">
        <f t="shared" si="14"/>
        <v>1.286808395923798E-2</v>
      </c>
      <c r="S56" s="81"/>
      <c r="T56" s="81">
        <f t="shared" si="14"/>
        <v>0</v>
      </c>
    </row>
    <row r="57" spans="2:20" x14ac:dyDescent="0.35">
      <c r="B57" s="12" t="s">
        <v>334</v>
      </c>
      <c r="C57" s="51">
        <f t="shared" ref="C57:Q57" si="35">IFERROR(C28/C$9,0)</f>
        <v>5.1409362300012629E-4</v>
      </c>
      <c r="D57" s="51">
        <f t="shared" si="35"/>
        <v>2.8850217952221601E-2</v>
      </c>
      <c r="E57" s="51">
        <f t="shared" si="35"/>
        <v>1.4615374262080932E-2</v>
      </c>
      <c r="F57" s="51">
        <f t="shared" si="35"/>
        <v>3.5313005687439905E-2</v>
      </c>
      <c r="G57" s="51">
        <f t="shared" si="35"/>
        <v>1.6527947455082678E-2</v>
      </c>
      <c r="H57" s="51">
        <f t="shared" si="35"/>
        <v>3.4335930101799396E-2</v>
      </c>
      <c r="I57" s="51">
        <f t="shared" si="35"/>
        <v>2.4720087321730672E-2</v>
      </c>
      <c r="J57" s="51">
        <f t="shared" si="35"/>
        <v>1.7549431574730656E-2</v>
      </c>
      <c r="K57" s="51">
        <f t="shared" si="35"/>
        <v>1.69445944596309E-2</v>
      </c>
      <c r="L57" s="51">
        <f t="shared" si="35"/>
        <v>2.3744674924232011E-2</v>
      </c>
      <c r="M57" s="51">
        <f t="shared" si="35"/>
        <v>2.3064769373159811E-2</v>
      </c>
      <c r="N57" s="51">
        <f t="shared" si="35"/>
        <v>1.3169520359241065E-3</v>
      </c>
      <c r="O57" s="99">
        <f t="shared" si="35"/>
        <v>2.0186218577826136E-2</v>
      </c>
      <c r="P57" s="51">
        <f t="shared" si="35"/>
        <v>1.925133450924189E-2</v>
      </c>
      <c r="Q57" s="104">
        <f t="shared" si="35"/>
        <v>0</v>
      </c>
      <c r="R57" s="51">
        <f t="shared" si="14"/>
        <v>3.2386393708610153E-3</v>
      </c>
      <c r="S57" s="51"/>
      <c r="T57" s="51">
        <f t="shared" si="14"/>
        <v>0</v>
      </c>
    </row>
    <row r="58" spans="2:20" x14ac:dyDescent="0.35">
      <c r="B58" s="44" t="s">
        <v>335</v>
      </c>
      <c r="C58" s="82">
        <f t="shared" ref="C58:Q58" si="36">IFERROR(C29/C$9,0)</f>
        <v>1.5285542751249774E-3</v>
      </c>
      <c r="D58" s="82">
        <f t="shared" si="36"/>
        <v>8.5780336530540596E-2</v>
      </c>
      <c r="E58" s="82">
        <f t="shared" si="36"/>
        <v>4.3455883931184033E-2</v>
      </c>
      <c r="F58" s="82">
        <f t="shared" si="36"/>
        <v>0.1049961396059481</v>
      </c>
      <c r="G58" s="82">
        <f t="shared" si="36"/>
        <v>4.9142536711647582E-2</v>
      </c>
      <c r="H58" s="82">
        <f t="shared" si="36"/>
        <v>0.10209100132620197</v>
      </c>
      <c r="I58" s="82">
        <f t="shared" si="36"/>
        <v>7.3500221489977313E-2</v>
      </c>
      <c r="J58" s="82">
        <f t="shared" si="36"/>
        <v>5.2179714860149565E-2</v>
      </c>
      <c r="K58" s="82">
        <f t="shared" si="36"/>
        <v>5.0381353011884095E-2</v>
      </c>
      <c r="L58" s="82">
        <f t="shared" si="36"/>
        <v>7.0600028366581746E-2</v>
      </c>
      <c r="M58" s="82">
        <f t="shared" si="36"/>
        <v>6.857846558059022E-2</v>
      </c>
      <c r="N58" s="82">
        <f t="shared" si="36"/>
        <v>3.9156927349122969E-3</v>
      </c>
      <c r="O58" s="100">
        <f t="shared" si="36"/>
        <v>6.0019672147802447E-2</v>
      </c>
      <c r="P58" s="82">
        <f t="shared" si="36"/>
        <v>5.7239981881579347E-2</v>
      </c>
      <c r="Q58" s="106">
        <f t="shared" si="36"/>
        <v>0</v>
      </c>
      <c r="R58" s="82">
        <f t="shared" si="14"/>
        <v>9.6294445883769644E-3</v>
      </c>
      <c r="S58" s="82"/>
      <c r="T58" s="82">
        <f t="shared" si="14"/>
        <v>0</v>
      </c>
    </row>
  </sheetData>
  <mergeCells count="1">
    <mergeCell ref="U4:W4"/>
  </mergeCells>
  <pageMargins left="0.31496062992125984" right="0.31496062992125984" top="0.74803149606299213" bottom="0.74803149606299213" header="0.31496062992125984" footer="0.31496062992125984"/>
  <pageSetup orientation="landscape" r:id="rId1"/>
  <ignoredErrors>
    <ignoredError sqref="O20:O27 O7:O19 C26:N27 O28:O30 C28:N28 P28 R26 R28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3D10-7879-4A9B-B3CD-E34D8FEB7952}">
  <sheetPr>
    <tabColor theme="7" tint="0.79998168889431442"/>
  </sheetPr>
  <dimension ref="B1:J26"/>
  <sheetViews>
    <sheetView showGridLines="0" workbookViewId="0">
      <selection activeCell="H16" sqref="H16"/>
    </sheetView>
  </sheetViews>
  <sheetFormatPr defaultColWidth="8.90625" defaultRowHeight="14.5" x14ac:dyDescent="0.35"/>
  <cols>
    <col min="1" max="1" width="2.36328125" style="12" customWidth="1"/>
    <col min="2" max="2" width="25.1796875" style="12" bestFit="1" customWidth="1"/>
    <col min="3" max="3" width="10.6328125" style="12" customWidth="1"/>
    <col min="4" max="5" width="8.90625" style="12"/>
    <col min="6" max="6" width="11.81640625" style="12" customWidth="1"/>
    <col min="7" max="7" width="7.54296875" style="12" bestFit="1" customWidth="1"/>
    <col min="8" max="8" width="12.81640625" style="12" customWidth="1"/>
    <col min="9" max="9" width="11" style="12" customWidth="1"/>
    <col min="10" max="10" width="2" style="12" customWidth="1"/>
    <col min="11" max="11" width="11" style="12" bestFit="1" customWidth="1"/>
    <col min="12" max="16384" width="8.90625" style="12"/>
  </cols>
  <sheetData>
    <row r="1" spans="2:10" ht="23.5" x14ac:dyDescent="0.55000000000000004">
      <c r="B1" s="63" t="s">
        <v>467</v>
      </c>
      <c r="C1" s="63"/>
      <c r="D1" s="29"/>
      <c r="E1" s="29"/>
      <c r="F1" s="29"/>
      <c r="G1" s="29"/>
      <c r="H1" s="29"/>
      <c r="I1" s="29"/>
    </row>
    <row r="2" spans="2:10" ht="15" thickBot="1" x14ac:dyDescent="0.4">
      <c r="B2" s="30" t="s">
        <v>572</v>
      </c>
      <c r="C2" s="30"/>
      <c r="D2" s="31"/>
      <c r="E2" s="31"/>
      <c r="F2" s="173" t="s">
        <v>465</v>
      </c>
      <c r="G2" s="173"/>
      <c r="H2" s="173"/>
      <c r="I2" s="173"/>
      <c r="J2" s="31"/>
    </row>
    <row r="3" spans="2:10" ht="9" customHeight="1" x14ac:dyDescent="0.35"/>
    <row r="4" spans="2:10" ht="29" x14ac:dyDescent="0.35">
      <c r="B4" s="33" t="s">
        <v>466</v>
      </c>
      <c r="C4" s="72" t="s">
        <v>649</v>
      </c>
      <c r="D4" s="33" t="s">
        <v>583</v>
      </c>
      <c r="E4" s="33" t="s">
        <v>584</v>
      </c>
      <c r="F4" s="72" t="s">
        <v>643</v>
      </c>
      <c r="G4" s="72" t="s">
        <v>585</v>
      </c>
      <c r="H4" s="72" t="s">
        <v>586</v>
      </c>
      <c r="I4" s="72" t="s">
        <v>644</v>
      </c>
    </row>
    <row r="5" spans="2:10" ht="6" customHeight="1" x14ac:dyDescent="0.35"/>
    <row r="6" spans="2:10" x14ac:dyDescent="0.35">
      <c r="B6" s="12" t="s">
        <v>574</v>
      </c>
      <c r="C6" s="23">
        <v>3813.9555</v>
      </c>
      <c r="D6" s="23">
        <v>0</v>
      </c>
      <c r="E6" s="23">
        <v>0</v>
      </c>
      <c r="F6" s="23">
        <f>C6+D6-E6</f>
        <v>3813.9555</v>
      </c>
      <c r="G6" s="74">
        <v>0</v>
      </c>
      <c r="H6" s="23">
        <f>(F6*G6)/12</f>
        <v>0</v>
      </c>
      <c r="I6" s="23">
        <f>F6-H6</f>
        <v>3813.9555</v>
      </c>
    </row>
    <row r="7" spans="2:10" x14ac:dyDescent="0.35">
      <c r="B7" s="12" t="s">
        <v>575</v>
      </c>
      <c r="C7" s="23">
        <v>15822.660293186884</v>
      </c>
      <c r="D7" s="23">
        <v>1.6519999999999999</v>
      </c>
      <c r="E7" s="23">
        <v>0</v>
      </c>
      <c r="F7" s="23">
        <f t="shared" ref="F7:F15" si="0">C7+D7-E7</f>
        <v>15824.312293186884</v>
      </c>
      <c r="G7" s="74">
        <v>2.4801906672485999E-2</v>
      </c>
      <c r="H7" s="23">
        <f>(F7*G7)/12</f>
        <v>32.706093054324498</v>
      </c>
      <c r="I7" s="23">
        <f t="shared" ref="I7:I15" si="1">F7-H7</f>
        <v>15791.606200132559</v>
      </c>
    </row>
    <row r="8" spans="2:10" x14ac:dyDescent="0.35">
      <c r="B8" s="12" t="s">
        <v>576</v>
      </c>
      <c r="C8" s="23">
        <v>9870.9439948192321</v>
      </c>
      <c r="D8" s="23">
        <v>46.633628200000004</v>
      </c>
      <c r="E8" s="23">
        <v>0</v>
      </c>
      <c r="F8" s="23">
        <f t="shared" si="0"/>
        <v>9917.5776230192314</v>
      </c>
      <c r="G8" s="74">
        <v>0.12185817328508397</v>
      </c>
      <c r="H8" s="23">
        <f t="shared" ref="H8:H15" si="2">(F8*G8)/12</f>
        <v>100.71149104617905</v>
      </c>
      <c r="I8" s="23">
        <f t="shared" si="1"/>
        <v>9816.8661319730527</v>
      </c>
    </row>
    <row r="9" spans="2:10" x14ac:dyDescent="0.35">
      <c r="B9" s="12" t="s">
        <v>577</v>
      </c>
      <c r="C9" s="23">
        <v>2409.1672010453981</v>
      </c>
      <c r="D9" s="23">
        <v>1.1569761000000001</v>
      </c>
      <c r="E9" s="23">
        <v>0</v>
      </c>
      <c r="F9" s="23">
        <f t="shared" si="0"/>
        <v>2410.3241771453982</v>
      </c>
      <c r="G9" s="74">
        <v>0.11362709451338894</v>
      </c>
      <c r="H9" s="23">
        <f t="shared" si="2"/>
        <v>22.823177757033879</v>
      </c>
      <c r="I9" s="23">
        <f t="shared" si="1"/>
        <v>2387.5009993883641</v>
      </c>
    </row>
    <row r="10" spans="2:10" x14ac:dyDescent="0.35">
      <c r="B10" s="12" t="s">
        <v>578</v>
      </c>
      <c r="C10" s="23">
        <v>504.47620533056488</v>
      </c>
      <c r="D10" s="23">
        <v>1.0686435999999999</v>
      </c>
      <c r="E10" s="23">
        <v>0</v>
      </c>
      <c r="F10" s="23">
        <f t="shared" si="0"/>
        <v>505.54484893056485</v>
      </c>
      <c r="G10" s="74">
        <v>0.19604760740919147</v>
      </c>
      <c r="H10" s="23">
        <f t="shared" si="2"/>
        <v>8.2592381725732</v>
      </c>
      <c r="I10" s="23">
        <f t="shared" si="1"/>
        <v>497.28561075799166</v>
      </c>
    </row>
    <row r="11" spans="2:10" x14ac:dyDescent="0.35">
      <c r="B11" s="12" t="s">
        <v>579</v>
      </c>
      <c r="C11" s="23">
        <v>85.744446735693145</v>
      </c>
      <c r="D11" s="23">
        <v>0</v>
      </c>
      <c r="E11" s="23">
        <v>0</v>
      </c>
      <c r="F11" s="23">
        <f t="shared" si="0"/>
        <v>85.744446735693145</v>
      </c>
      <c r="G11" s="74">
        <v>0.17313232676070678</v>
      </c>
      <c r="H11" s="23">
        <f t="shared" si="2"/>
        <v>1.2370946308466702</v>
      </c>
      <c r="I11" s="23">
        <f t="shared" si="1"/>
        <v>84.507352104846476</v>
      </c>
    </row>
    <row r="12" spans="2:10" x14ac:dyDescent="0.35">
      <c r="B12" s="12" t="s">
        <v>580</v>
      </c>
      <c r="C12" s="23">
        <v>6.0501306513870272</v>
      </c>
      <c r="D12" s="23">
        <v>0</v>
      </c>
      <c r="E12" s="23">
        <v>0</v>
      </c>
      <c r="F12" s="23">
        <f t="shared" si="0"/>
        <v>6.0501306513870272</v>
      </c>
      <c r="G12" s="74">
        <v>0.21524107491506708</v>
      </c>
      <c r="H12" s="23">
        <f t="shared" si="2"/>
        <v>0.10851971873176157</v>
      </c>
      <c r="I12" s="23">
        <f t="shared" si="1"/>
        <v>5.9416109326552657</v>
      </c>
    </row>
    <row r="13" spans="2:10" x14ac:dyDescent="0.35">
      <c r="B13" s="12" t="s">
        <v>581</v>
      </c>
      <c r="C13" s="23">
        <v>1439.0883122744499</v>
      </c>
      <c r="D13" s="23">
        <v>26.7164672</v>
      </c>
      <c r="E13" s="23">
        <v>0</v>
      </c>
      <c r="F13" s="23">
        <f t="shared" si="0"/>
        <v>1465.8047794744498</v>
      </c>
      <c r="G13" s="74">
        <v>0.20505382053612931</v>
      </c>
      <c r="H13" s="23">
        <f t="shared" si="2"/>
        <v>25.047405849279532</v>
      </c>
      <c r="I13" s="23">
        <f t="shared" si="1"/>
        <v>1440.7573736251702</v>
      </c>
    </row>
    <row r="14" spans="2:10" x14ac:dyDescent="0.35">
      <c r="B14" s="12" t="s">
        <v>582</v>
      </c>
      <c r="C14" s="23">
        <v>125.20442378751125</v>
      </c>
      <c r="D14" s="23">
        <v>2.5790741000000001</v>
      </c>
      <c r="E14" s="23">
        <v>0</v>
      </c>
      <c r="F14" s="23">
        <f t="shared" si="0"/>
        <v>127.78349788751125</v>
      </c>
      <c r="G14" s="74">
        <v>0.45866550633009479</v>
      </c>
      <c r="H14" s="23">
        <f t="shared" si="2"/>
        <v>4.8841568966004951</v>
      </c>
      <c r="I14" s="23">
        <f t="shared" si="1"/>
        <v>122.89934099091074</v>
      </c>
    </row>
    <row r="15" spans="2:10" x14ac:dyDescent="0.35">
      <c r="B15" s="12" t="s">
        <v>573</v>
      </c>
      <c r="C15" s="23">
        <v>57.080726987892398</v>
      </c>
      <c r="D15" s="23">
        <v>0</v>
      </c>
      <c r="E15" s="23">
        <v>0</v>
      </c>
      <c r="F15" s="23">
        <f t="shared" si="0"/>
        <v>57.080726987892398</v>
      </c>
      <c r="G15" s="74">
        <v>0.30808080808080807</v>
      </c>
      <c r="H15" s="23">
        <f t="shared" si="2"/>
        <v>1.4654563746891567</v>
      </c>
      <c r="I15" s="23">
        <f t="shared" si="1"/>
        <v>55.615270613203243</v>
      </c>
    </row>
    <row r="16" spans="2:10" x14ac:dyDescent="0.35">
      <c r="B16" s="26" t="s">
        <v>571</v>
      </c>
      <c r="C16" s="73">
        <f>SUM(C6:C15)</f>
        <v>34134.371234819017</v>
      </c>
      <c r="D16" s="73">
        <f>SUM(D6:D15)</f>
        <v>79.806789200000011</v>
      </c>
      <c r="E16" s="73">
        <f>SUM(E6:E15)</f>
        <v>0</v>
      </c>
      <c r="F16" s="73">
        <f>SUM(F6:F15)</f>
        <v>34214.178024019013</v>
      </c>
      <c r="G16" s="26"/>
      <c r="H16" s="73">
        <f>SUM(H6:H15)</f>
        <v>197.24263350025825</v>
      </c>
      <c r="I16" s="73">
        <f>SUM(I6:I15)</f>
        <v>34016.935390518753</v>
      </c>
    </row>
    <row r="23" spans="4:8" x14ac:dyDescent="0.35">
      <c r="F23" s="23"/>
      <c r="G23" s="23"/>
    </row>
    <row r="24" spans="4:8" x14ac:dyDescent="0.35">
      <c r="F24" s="13"/>
      <c r="G24" s="13"/>
      <c r="H24" s="13"/>
    </row>
    <row r="26" spans="4:8" x14ac:dyDescent="0.35">
      <c r="D26" s="13"/>
    </row>
  </sheetData>
  <mergeCells count="1">
    <mergeCell ref="F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523D-3513-4258-8854-F24AD49DBDA1}">
  <sheetPr>
    <tabColor theme="7" tint="0.79998168889431442"/>
  </sheetPr>
  <dimension ref="A1:S44"/>
  <sheetViews>
    <sheetView showGridLines="0" topLeftCell="A23" workbookViewId="0">
      <selection activeCell="M45" sqref="M45"/>
    </sheetView>
  </sheetViews>
  <sheetFormatPr defaultColWidth="8.90625" defaultRowHeight="14.5" x14ac:dyDescent="0.35"/>
  <cols>
    <col min="1" max="1" width="2.36328125" style="12" customWidth="1"/>
    <col min="2" max="2" width="25.1796875" style="12" bestFit="1" customWidth="1"/>
    <col min="3" max="3" width="10.6328125" style="12" customWidth="1"/>
    <col min="4" max="5" width="8.90625" style="12"/>
    <col min="6" max="6" width="11.81640625" style="12" customWidth="1"/>
    <col min="7" max="7" width="8" style="12" bestFit="1" customWidth="1"/>
    <col min="8" max="8" width="12.81640625" style="12" customWidth="1"/>
    <col min="9" max="9" width="7.81640625" style="12" bestFit="1" customWidth="1"/>
    <col min="10" max="10" width="8" style="12" bestFit="1" customWidth="1"/>
    <col min="11" max="11" width="8.6328125" style="12" bestFit="1" customWidth="1"/>
    <col min="12" max="12" width="12" style="12" bestFit="1" customWidth="1"/>
    <col min="13" max="13" width="13.1796875" style="12" bestFit="1" customWidth="1"/>
    <col min="14" max="14" width="8.90625" style="12"/>
    <col min="15" max="15" width="12" style="12" bestFit="1" customWidth="1"/>
    <col min="16" max="16" width="14.90625" style="12" bestFit="1" customWidth="1"/>
    <col min="17" max="17" width="10" style="12" bestFit="1" customWidth="1"/>
    <col min="18" max="16384" width="8.90625" style="12"/>
  </cols>
  <sheetData>
    <row r="1" spans="1:19" ht="23.5" x14ac:dyDescent="0.55000000000000004">
      <c r="B1" s="63" t="s">
        <v>467</v>
      </c>
      <c r="C1" s="63"/>
      <c r="D1" s="29"/>
      <c r="E1" s="29"/>
      <c r="F1" s="29"/>
      <c r="G1" s="29"/>
      <c r="H1" s="29"/>
    </row>
    <row r="2" spans="1:19" ht="15" thickBot="1" x14ac:dyDescent="0.4">
      <c r="B2" s="30" t="s">
        <v>587</v>
      </c>
      <c r="C2" s="30"/>
      <c r="D2" s="31"/>
      <c r="E2" s="31"/>
      <c r="F2" s="173" t="s">
        <v>465</v>
      </c>
      <c r="G2" s="173"/>
      <c r="H2" s="173"/>
      <c r="I2" s="31"/>
      <c r="J2" s="31"/>
      <c r="K2" s="31"/>
      <c r="L2" s="31"/>
      <c r="M2" s="31"/>
    </row>
    <row r="3" spans="1:19" ht="9" customHeight="1" x14ac:dyDescent="0.35"/>
    <row r="4" spans="1:19" x14ac:dyDescent="0.35">
      <c r="A4" s="76">
        <v>1</v>
      </c>
      <c r="B4" s="76" t="s">
        <v>604</v>
      </c>
    </row>
    <row r="5" spans="1:19" x14ac:dyDescent="0.35">
      <c r="B5" s="75" t="s">
        <v>588</v>
      </c>
      <c r="C5" s="33" t="s">
        <v>589</v>
      </c>
      <c r="D5" s="33" t="s">
        <v>590</v>
      </c>
      <c r="E5" s="33" t="s">
        <v>591</v>
      </c>
      <c r="F5" s="33" t="s">
        <v>592</v>
      </c>
      <c r="G5" s="33" t="s">
        <v>590</v>
      </c>
      <c r="H5" s="33" t="s">
        <v>591</v>
      </c>
      <c r="I5" s="33" t="s">
        <v>603</v>
      </c>
      <c r="J5" s="33" t="s">
        <v>590</v>
      </c>
      <c r="K5" s="33" t="s">
        <v>591</v>
      </c>
      <c r="L5" s="33" t="s">
        <v>593</v>
      </c>
      <c r="M5" s="33" t="s">
        <v>594</v>
      </c>
    </row>
    <row r="6" spans="1:19" x14ac:dyDescent="0.35">
      <c r="B6" s="12" t="s">
        <v>595</v>
      </c>
      <c r="C6" s="23">
        <v>875.90002667891292</v>
      </c>
      <c r="D6" s="52">
        <v>5.0000000000000001E-3</v>
      </c>
      <c r="E6" s="23">
        <f>C6*D6</f>
        <v>4.3795001333945649</v>
      </c>
      <c r="F6" s="23">
        <v>166.60456484923833</v>
      </c>
      <c r="G6" s="52">
        <v>0.1</v>
      </c>
      <c r="H6" s="23">
        <f>F6*G6</f>
        <v>16.660456484923834</v>
      </c>
      <c r="I6" s="23">
        <v>7.8846918205229537</v>
      </c>
      <c r="J6" s="52">
        <v>0.05</v>
      </c>
      <c r="K6" s="23">
        <f>I6*J6</f>
        <v>0.39423459102614772</v>
      </c>
      <c r="L6" s="13">
        <f>C6+F6+I6</f>
        <v>1050.3892833486741</v>
      </c>
      <c r="M6" s="13">
        <f>E6+H6+K6</f>
        <v>21.434191209344547</v>
      </c>
      <c r="S6" s="13"/>
    </row>
    <row r="7" spans="1:19" x14ac:dyDescent="0.35">
      <c r="B7" s="12" t="s">
        <v>596</v>
      </c>
      <c r="C7" s="23">
        <v>510.1880876465554</v>
      </c>
      <c r="D7" s="52">
        <v>0.01</v>
      </c>
      <c r="E7" s="23">
        <f t="shared" ref="E7:E13" si="0">C7*D7</f>
        <v>5.1018808764655539</v>
      </c>
      <c r="F7" s="23">
        <v>194.97889570254949</v>
      </c>
      <c r="G7" s="52">
        <v>0.15</v>
      </c>
      <c r="H7" s="23">
        <f t="shared" ref="H7:H13" si="1">F7*G7</f>
        <v>29.246834355382422</v>
      </c>
      <c r="I7" s="23">
        <v>5.0577419401995041</v>
      </c>
      <c r="J7" s="52">
        <v>0.1</v>
      </c>
      <c r="K7" s="23">
        <f t="shared" ref="K7:K13" si="2">I7*J7</f>
        <v>0.50577419401995038</v>
      </c>
      <c r="L7" s="13">
        <f t="shared" ref="L7:L13" si="3">C7+F7+I7</f>
        <v>710.22472528930439</v>
      </c>
      <c r="M7" s="13">
        <f t="shared" ref="M7:M14" si="4">E7+H7+K7</f>
        <v>34.854489425867925</v>
      </c>
      <c r="S7" s="13"/>
    </row>
    <row r="8" spans="1:19" x14ac:dyDescent="0.35">
      <c r="B8" s="12" t="s">
        <v>597</v>
      </c>
      <c r="C8" s="23">
        <v>377.51386114057044</v>
      </c>
      <c r="D8" s="52">
        <v>0.02</v>
      </c>
      <c r="E8" s="23">
        <f t="shared" si="0"/>
        <v>7.5502772228114088</v>
      </c>
      <c r="F8" s="23">
        <v>202.26819414913567</v>
      </c>
      <c r="G8" s="52">
        <v>0.2</v>
      </c>
      <c r="H8" s="23">
        <f t="shared" si="1"/>
        <v>40.453638829827135</v>
      </c>
      <c r="I8" s="23">
        <v>5.2352326467705383</v>
      </c>
      <c r="J8" s="52">
        <v>0.15</v>
      </c>
      <c r="K8" s="23">
        <f t="shared" si="2"/>
        <v>0.78528489701558069</v>
      </c>
      <c r="L8" s="13">
        <f t="shared" si="3"/>
        <v>585.01728793647669</v>
      </c>
      <c r="M8" s="13">
        <f t="shared" si="4"/>
        <v>48.789200949654123</v>
      </c>
      <c r="S8" s="13"/>
    </row>
    <row r="9" spans="1:19" x14ac:dyDescent="0.35">
      <c r="B9" s="12" t="s">
        <v>598</v>
      </c>
      <c r="C9" s="23">
        <v>732.24420289798331</v>
      </c>
      <c r="D9" s="52">
        <v>0.05</v>
      </c>
      <c r="E9" s="23">
        <f t="shared" si="0"/>
        <v>36.612210144899166</v>
      </c>
      <c r="F9" s="23">
        <v>441.16000733779941</v>
      </c>
      <c r="G9" s="52">
        <v>0.25</v>
      </c>
      <c r="H9" s="23">
        <f t="shared" si="1"/>
        <v>110.29000183444985</v>
      </c>
      <c r="I9" s="23">
        <v>4.7729586350836666</v>
      </c>
      <c r="J9" s="52">
        <v>0.2</v>
      </c>
      <c r="K9" s="23">
        <f t="shared" si="2"/>
        <v>0.95459172701673334</v>
      </c>
      <c r="L9" s="13">
        <f t="shared" si="3"/>
        <v>1178.1771688708664</v>
      </c>
      <c r="M9" s="13">
        <f t="shared" si="4"/>
        <v>147.85680370636575</v>
      </c>
      <c r="S9" s="13"/>
    </row>
    <row r="10" spans="1:19" x14ac:dyDescent="0.35">
      <c r="B10" s="12" t="s">
        <v>599</v>
      </c>
      <c r="C10" s="23">
        <v>1350.5575244383074</v>
      </c>
      <c r="D10" s="52">
        <v>0.1</v>
      </c>
      <c r="E10" s="23">
        <f t="shared" si="0"/>
        <v>135.05575244383076</v>
      </c>
      <c r="F10" s="23">
        <v>645.07069786074783</v>
      </c>
      <c r="G10" s="52">
        <v>0.3</v>
      </c>
      <c r="H10" s="23">
        <f t="shared" si="1"/>
        <v>193.52120935822435</v>
      </c>
      <c r="I10" s="23">
        <v>40.149449831355717</v>
      </c>
      <c r="J10" s="52">
        <v>0.3</v>
      </c>
      <c r="K10" s="23">
        <f t="shared" si="2"/>
        <v>12.044834949406715</v>
      </c>
      <c r="L10" s="13">
        <f t="shared" si="3"/>
        <v>2035.777672130411</v>
      </c>
      <c r="M10" s="13">
        <f t="shared" si="4"/>
        <v>340.62179675146183</v>
      </c>
      <c r="S10" s="13"/>
    </row>
    <row r="11" spans="1:19" x14ac:dyDescent="0.35">
      <c r="B11" s="12" t="s">
        <v>600</v>
      </c>
      <c r="C11" s="23">
        <v>989.5528253118689</v>
      </c>
      <c r="D11" s="52">
        <v>0.15</v>
      </c>
      <c r="E11" s="23">
        <f t="shared" si="0"/>
        <v>148.43292379678033</v>
      </c>
      <c r="F11" s="23">
        <v>937.62013450670713</v>
      </c>
      <c r="G11" s="52">
        <v>0.4</v>
      </c>
      <c r="H11" s="23">
        <f t="shared" si="1"/>
        <v>375.04805380268289</v>
      </c>
      <c r="I11" s="23">
        <v>15.339733408344959</v>
      </c>
      <c r="J11" s="52">
        <v>0.3</v>
      </c>
      <c r="K11" s="23">
        <f t="shared" si="2"/>
        <v>4.6019200225034878</v>
      </c>
      <c r="L11" s="13">
        <f t="shared" si="3"/>
        <v>1942.5126932269211</v>
      </c>
      <c r="M11" s="13">
        <f t="shared" si="4"/>
        <v>528.08289762196671</v>
      </c>
      <c r="P11" s="23"/>
      <c r="S11" s="13"/>
    </row>
    <row r="12" spans="1:19" x14ac:dyDescent="0.35">
      <c r="B12" s="12" t="s">
        <v>601</v>
      </c>
      <c r="C12" s="23">
        <v>453.82558767346285</v>
      </c>
      <c r="D12" s="52">
        <v>0.2</v>
      </c>
      <c r="E12" s="23">
        <f t="shared" si="0"/>
        <v>90.765117534692578</v>
      </c>
      <c r="F12" s="23">
        <v>536.01688899840565</v>
      </c>
      <c r="G12" s="52">
        <v>0.5</v>
      </c>
      <c r="H12" s="23">
        <f t="shared" si="1"/>
        <v>268.00844449920282</v>
      </c>
      <c r="I12" s="23">
        <v>18.858644738416658</v>
      </c>
      <c r="J12" s="52">
        <v>0.35</v>
      </c>
      <c r="K12" s="23">
        <f t="shared" si="2"/>
        <v>6.6005256584458296</v>
      </c>
      <c r="L12" s="13">
        <f t="shared" si="3"/>
        <v>1008.7011214102852</v>
      </c>
      <c r="M12" s="13">
        <f t="shared" si="4"/>
        <v>365.37408769234122</v>
      </c>
      <c r="P12" s="23"/>
      <c r="S12" s="13"/>
    </row>
    <row r="13" spans="1:19" x14ac:dyDescent="0.35">
      <c r="B13" s="12" t="s">
        <v>602</v>
      </c>
      <c r="C13" s="23">
        <v>129.33893001234196</v>
      </c>
      <c r="D13" s="52">
        <v>1</v>
      </c>
      <c r="E13" s="23">
        <f t="shared" si="0"/>
        <v>129.33893001234196</v>
      </c>
      <c r="F13" s="23">
        <v>925.77428629541737</v>
      </c>
      <c r="G13" s="52">
        <v>1</v>
      </c>
      <c r="H13" s="23">
        <f t="shared" si="1"/>
        <v>925.77428629541737</v>
      </c>
      <c r="I13" s="23">
        <v>129.01215707930587</v>
      </c>
      <c r="J13" s="52">
        <v>1</v>
      </c>
      <c r="K13" s="23">
        <f t="shared" si="2"/>
        <v>129.01215707930587</v>
      </c>
      <c r="L13" s="13">
        <f t="shared" si="3"/>
        <v>1184.1253733870651</v>
      </c>
      <c r="M13" s="13">
        <f t="shared" si="4"/>
        <v>1184.1253733870651</v>
      </c>
      <c r="P13" s="23"/>
      <c r="S13" s="13"/>
    </row>
    <row r="14" spans="1:19" x14ac:dyDescent="0.35">
      <c r="B14" s="26" t="s">
        <v>571</v>
      </c>
      <c r="C14" s="73">
        <f>SUM(C6:C13)</f>
        <v>5419.1210458000032</v>
      </c>
      <c r="D14" s="73"/>
      <c r="E14" s="73">
        <f>SUM(E6:E13)</f>
        <v>557.23659216521628</v>
      </c>
      <c r="F14" s="73">
        <f>SUM(F6:F13)</f>
        <v>4049.4936697000007</v>
      </c>
      <c r="G14" s="26"/>
      <c r="H14" s="73">
        <f>SUM(H6:H13)</f>
        <v>1959.0029254601106</v>
      </c>
      <c r="I14" s="73">
        <f>SUM(I6:I13)</f>
        <v>226.31061009999985</v>
      </c>
      <c r="J14" s="73"/>
      <c r="K14" s="73">
        <f>SUM(K6:K13)</f>
        <v>154.89932311874031</v>
      </c>
      <c r="L14" s="73">
        <f>SUM(L6:L13)</f>
        <v>9694.9253256000047</v>
      </c>
      <c r="M14" s="73">
        <f t="shared" si="4"/>
        <v>2671.1388407440672</v>
      </c>
      <c r="O14" s="23"/>
      <c r="P14" s="23"/>
      <c r="R14" s="13"/>
      <c r="S14" s="13"/>
    </row>
    <row r="17" spans="1:17" x14ac:dyDescent="0.35">
      <c r="A17" s="76">
        <v>2</v>
      </c>
      <c r="B17" s="76" t="s">
        <v>605</v>
      </c>
    </row>
    <row r="18" spans="1:17" x14ac:dyDescent="0.35">
      <c r="B18" s="75" t="s">
        <v>588</v>
      </c>
      <c r="C18" s="33" t="s">
        <v>589</v>
      </c>
      <c r="D18" s="33" t="s">
        <v>590</v>
      </c>
      <c r="E18" s="33" t="s">
        <v>591</v>
      </c>
      <c r="F18" s="33" t="s">
        <v>592</v>
      </c>
      <c r="G18" s="33" t="s">
        <v>590</v>
      </c>
      <c r="H18" s="33" t="s">
        <v>591</v>
      </c>
      <c r="I18" s="33" t="s">
        <v>603</v>
      </c>
      <c r="J18" s="33" t="s">
        <v>590</v>
      </c>
      <c r="K18" s="33" t="s">
        <v>591</v>
      </c>
      <c r="L18" s="33" t="s">
        <v>593</v>
      </c>
      <c r="M18" s="33" t="s">
        <v>594</v>
      </c>
    </row>
    <row r="19" spans="1:17" x14ac:dyDescent="0.35">
      <c r="B19" s="12" t="s">
        <v>595</v>
      </c>
      <c r="C19" s="23">
        <v>2.321072</v>
      </c>
      <c r="D19" s="52">
        <v>5.0000000000000001E-3</v>
      </c>
      <c r="E19" s="23">
        <f>C19*D19</f>
        <v>1.160536E-2</v>
      </c>
      <c r="F19" s="23"/>
      <c r="G19" s="52">
        <v>0.1</v>
      </c>
      <c r="H19" s="23">
        <f>F19*G19</f>
        <v>0</v>
      </c>
      <c r="J19" s="52">
        <v>0.05</v>
      </c>
      <c r="K19" s="23">
        <f>I19*J19</f>
        <v>0</v>
      </c>
      <c r="L19" s="13">
        <f>C19+F19+I19</f>
        <v>2.321072</v>
      </c>
      <c r="M19" s="13">
        <f>E19+H19+K19</f>
        <v>1.160536E-2</v>
      </c>
    </row>
    <row r="20" spans="1:17" x14ac:dyDescent="0.35">
      <c r="B20" s="12" t="s">
        <v>596</v>
      </c>
      <c r="C20" s="23">
        <v>1.10057</v>
      </c>
      <c r="D20" s="52">
        <v>0.01</v>
      </c>
      <c r="E20" s="23">
        <f t="shared" ref="E20:E26" si="5">C20*D20</f>
        <v>1.10057E-2</v>
      </c>
      <c r="F20" s="23"/>
      <c r="G20" s="52">
        <v>0.15</v>
      </c>
      <c r="H20" s="23">
        <f t="shared" ref="H20:H26" si="6">F20*G20</f>
        <v>0</v>
      </c>
      <c r="J20" s="52">
        <v>0.1</v>
      </c>
      <c r="K20" s="23">
        <f t="shared" ref="K20:K26" si="7">I20*J20</f>
        <v>0</v>
      </c>
      <c r="L20" s="13">
        <f t="shared" ref="L20:L26" si="8">C20+F20+I20</f>
        <v>1.10057</v>
      </c>
      <c r="M20" s="13">
        <f t="shared" ref="M20:M26" si="9">E20+H20+K20</f>
        <v>1.10057E-2</v>
      </c>
    </row>
    <row r="21" spans="1:17" x14ac:dyDescent="0.35">
      <c r="B21" s="12" t="s">
        <v>597</v>
      </c>
      <c r="C21" s="23">
        <v>1.13903</v>
      </c>
      <c r="D21" s="52">
        <v>0.02</v>
      </c>
      <c r="E21" s="23">
        <f t="shared" si="5"/>
        <v>2.2780600000000002E-2</v>
      </c>
      <c r="F21" s="23"/>
      <c r="G21" s="52">
        <v>0.2</v>
      </c>
      <c r="H21" s="23">
        <f t="shared" si="6"/>
        <v>0</v>
      </c>
      <c r="J21" s="52">
        <v>0.15</v>
      </c>
      <c r="K21" s="23">
        <f t="shared" si="7"/>
        <v>0</v>
      </c>
      <c r="L21" s="13">
        <f t="shared" si="8"/>
        <v>1.13903</v>
      </c>
      <c r="M21" s="13">
        <f t="shared" si="9"/>
        <v>2.2780600000000002E-2</v>
      </c>
      <c r="Q21" s="13"/>
    </row>
    <row r="22" spans="1:17" x14ac:dyDescent="0.35">
      <c r="B22" s="12" t="s">
        <v>598</v>
      </c>
      <c r="C22" s="23">
        <v>12.689254399999999</v>
      </c>
      <c r="D22" s="52">
        <v>0.05</v>
      </c>
      <c r="E22" s="23">
        <f t="shared" si="5"/>
        <v>0.63446272000000004</v>
      </c>
      <c r="F22" s="23"/>
      <c r="G22" s="52">
        <v>0.25</v>
      </c>
      <c r="H22" s="23">
        <f t="shared" si="6"/>
        <v>0</v>
      </c>
      <c r="J22" s="52">
        <v>0.2</v>
      </c>
      <c r="K22" s="23">
        <f t="shared" si="7"/>
        <v>0</v>
      </c>
      <c r="L22" s="13">
        <f t="shared" si="8"/>
        <v>12.689254399999999</v>
      </c>
      <c r="M22" s="13">
        <f t="shared" si="9"/>
        <v>0.63446272000000004</v>
      </c>
      <c r="Q22" s="13"/>
    </row>
    <row r="23" spans="1:17" x14ac:dyDescent="0.35">
      <c r="B23" s="12" t="s">
        <v>599</v>
      </c>
      <c r="C23" s="23"/>
      <c r="D23" s="52">
        <v>0.1</v>
      </c>
      <c r="E23" s="23">
        <f t="shared" si="5"/>
        <v>0</v>
      </c>
      <c r="F23" s="23"/>
      <c r="G23" s="52">
        <v>0.3</v>
      </c>
      <c r="H23" s="23">
        <f t="shared" si="6"/>
        <v>0</v>
      </c>
      <c r="J23" s="52">
        <v>0.3</v>
      </c>
      <c r="K23" s="23">
        <f t="shared" si="7"/>
        <v>0</v>
      </c>
      <c r="L23" s="13">
        <f t="shared" si="8"/>
        <v>0</v>
      </c>
      <c r="M23" s="13">
        <f t="shared" si="9"/>
        <v>0</v>
      </c>
      <c r="Q23" s="13"/>
    </row>
    <row r="24" spans="1:17" x14ac:dyDescent="0.35">
      <c r="B24" s="12" t="s">
        <v>600</v>
      </c>
      <c r="C24" s="23"/>
      <c r="D24" s="52">
        <v>0.15</v>
      </c>
      <c r="E24" s="23">
        <f t="shared" si="5"/>
        <v>0</v>
      </c>
      <c r="F24" s="23"/>
      <c r="G24" s="52">
        <v>0.4</v>
      </c>
      <c r="H24" s="23">
        <f t="shared" si="6"/>
        <v>0</v>
      </c>
      <c r="J24" s="52">
        <v>0.3</v>
      </c>
      <c r="K24" s="23">
        <f t="shared" si="7"/>
        <v>0</v>
      </c>
      <c r="L24" s="13">
        <f t="shared" si="8"/>
        <v>0</v>
      </c>
      <c r="M24" s="13">
        <f t="shared" si="9"/>
        <v>0</v>
      </c>
      <c r="Q24" s="13"/>
    </row>
    <row r="25" spans="1:17" x14ac:dyDescent="0.35">
      <c r="B25" s="12" t="s">
        <v>601</v>
      </c>
      <c r="C25" s="23"/>
      <c r="D25" s="52">
        <v>0.2</v>
      </c>
      <c r="E25" s="23">
        <f t="shared" si="5"/>
        <v>0</v>
      </c>
      <c r="F25" s="23"/>
      <c r="G25" s="52">
        <v>0.5</v>
      </c>
      <c r="H25" s="23">
        <f t="shared" si="6"/>
        <v>0</v>
      </c>
      <c r="J25" s="52">
        <v>0.35</v>
      </c>
      <c r="K25" s="23">
        <f t="shared" si="7"/>
        <v>0</v>
      </c>
      <c r="L25" s="13">
        <f t="shared" si="8"/>
        <v>0</v>
      </c>
      <c r="M25" s="13">
        <f t="shared" si="9"/>
        <v>0</v>
      </c>
      <c r="Q25" s="13"/>
    </row>
    <row r="26" spans="1:17" x14ac:dyDescent="0.35">
      <c r="B26" s="12" t="s">
        <v>602</v>
      </c>
      <c r="C26" s="23"/>
      <c r="D26" s="52">
        <v>1</v>
      </c>
      <c r="E26" s="23">
        <f t="shared" si="5"/>
        <v>0</v>
      </c>
      <c r="F26" s="23"/>
      <c r="G26" s="52">
        <v>1</v>
      </c>
      <c r="H26" s="23">
        <f t="shared" si="6"/>
        <v>0</v>
      </c>
      <c r="J26" s="52">
        <v>1</v>
      </c>
      <c r="K26" s="23">
        <f t="shared" si="7"/>
        <v>0</v>
      </c>
      <c r="L26" s="13">
        <f t="shared" si="8"/>
        <v>0</v>
      </c>
      <c r="M26" s="13">
        <f t="shared" si="9"/>
        <v>0</v>
      </c>
      <c r="Q26" s="13"/>
    </row>
    <row r="27" spans="1:17" x14ac:dyDescent="0.35">
      <c r="B27" s="26" t="s">
        <v>571</v>
      </c>
      <c r="C27" s="73">
        <f>SUM(C19:C26)</f>
        <v>17.2499264</v>
      </c>
      <c r="D27" s="73"/>
      <c r="E27" s="73">
        <f>SUM(E19:E26)</f>
        <v>0.67985438000000009</v>
      </c>
      <c r="F27" s="73">
        <f>SUM(F19:F26)</f>
        <v>0</v>
      </c>
      <c r="G27" s="26"/>
      <c r="H27" s="73">
        <f>SUM(H19:H26)</f>
        <v>0</v>
      </c>
      <c r="I27" s="73">
        <f>SUM(I19:I26)</f>
        <v>0</v>
      </c>
      <c r="J27" s="73"/>
      <c r="K27" s="73">
        <f>SUM(K19:K26)</f>
        <v>0</v>
      </c>
      <c r="L27" s="73">
        <f>SUM(L19:L26)</f>
        <v>17.2499264</v>
      </c>
      <c r="M27" s="73">
        <f>SUM(M19:M26)</f>
        <v>0.67985438000000009</v>
      </c>
      <c r="Q27" s="13"/>
    </row>
    <row r="28" spans="1:17" x14ac:dyDescent="0.35">
      <c r="Q28" s="13"/>
    </row>
    <row r="29" spans="1:17" x14ac:dyDescent="0.35">
      <c r="A29" s="76">
        <v>3</v>
      </c>
      <c r="B29" s="76" t="s">
        <v>606</v>
      </c>
      <c r="Q29" s="13"/>
    </row>
    <row r="30" spans="1:17" x14ac:dyDescent="0.35">
      <c r="B30" s="75" t="s">
        <v>588</v>
      </c>
      <c r="C30" s="33" t="s">
        <v>589</v>
      </c>
      <c r="D30" s="33" t="s">
        <v>590</v>
      </c>
      <c r="E30" s="33" t="s">
        <v>591</v>
      </c>
      <c r="F30" s="33" t="s">
        <v>592</v>
      </c>
      <c r="G30" s="33" t="s">
        <v>590</v>
      </c>
      <c r="H30" s="33" t="s">
        <v>591</v>
      </c>
      <c r="I30" s="33" t="s">
        <v>603</v>
      </c>
      <c r="J30" s="33" t="s">
        <v>590</v>
      </c>
      <c r="K30" s="33" t="s">
        <v>591</v>
      </c>
      <c r="L30" s="33" t="s">
        <v>593</v>
      </c>
      <c r="M30" s="33" t="s">
        <v>594</v>
      </c>
      <c r="Q30" s="13">
        <f>$Q$21/$F$14*F14</f>
        <v>0</v>
      </c>
    </row>
    <row r="31" spans="1:17" x14ac:dyDescent="0.35">
      <c r="B31" s="12" t="s">
        <v>595</v>
      </c>
      <c r="C31" s="23">
        <f t="shared" ref="C31:C38" si="10">C6+C19</f>
        <v>878.22109867891288</v>
      </c>
      <c r="D31" s="52">
        <v>5.0000000000000001E-3</v>
      </c>
      <c r="E31" s="23">
        <f t="shared" ref="E31:F38" si="11">E6+E19</f>
        <v>4.3911054933945648</v>
      </c>
      <c r="F31" s="23">
        <f t="shared" si="11"/>
        <v>166.60456484923833</v>
      </c>
      <c r="G31" s="52">
        <v>0.1</v>
      </c>
      <c r="H31" s="23">
        <f t="shared" ref="H31:I38" si="12">H6+H19</f>
        <v>16.660456484923834</v>
      </c>
      <c r="I31" s="23">
        <f t="shared" si="12"/>
        <v>7.8846918205229537</v>
      </c>
      <c r="J31" s="52">
        <v>0.05</v>
      </c>
      <c r="K31" s="23">
        <f t="shared" ref="K31:K38" si="13">K6+K19</f>
        <v>0.39423459102614772</v>
      </c>
      <c r="L31" s="13">
        <f>C31+F31+I31</f>
        <v>1052.7103553486741</v>
      </c>
      <c r="M31" s="13">
        <f>E31+H31+K31</f>
        <v>21.445796569344548</v>
      </c>
    </row>
    <row r="32" spans="1:17" x14ac:dyDescent="0.35">
      <c r="B32" s="12" t="s">
        <v>596</v>
      </c>
      <c r="C32" s="23">
        <f t="shared" si="10"/>
        <v>511.28865764655541</v>
      </c>
      <c r="D32" s="52">
        <v>0.01</v>
      </c>
      <c r="E32" s="23">
        <f t="shared" si="11"/>
        <v>5.112886576465554</v>
      </c>
      <c r="F32" s="23">
        <f t="shared" si="11"/>
        <v>194.97889570254949</v>
      </c>
      <c r="G32" s="52">
        <v>0.15</v>
      </c>
      <c r="H32" s="23">
        <f t="shared" si="12"/>
        <v>29.246834355382422</v>
      </c>
      <c r="I32" s="23">
        <f t="shared" si="12"/>
        <v>5.0577419401995041</v>
      </c>
      <c r="J32" s="52">
        <v>0.1</v>
      </c>
      <c r="K32" s="23">
        <f t="shared" si="13"/>
        <v>0.50577419401995038</v>
      </c>
      <c r="L32" s="13">
        <f t="shared" ref="L32:L38" si="14">C32+F32+I32</f>
        <v>711.32529528930445</v>
      </c>
      <c r="M32" s="13">
        <f t="shared" ref="M32:M38" si="15">E32+H32+K32</f>
        <v>34.865495125867923</v>
      </c>
    </row>
    <row r="33" spans="2:16" x14ac:dyDescent="0.35">
      <c r="B33" s="12" t="s">
        <v>597</v>
      </c>
      <c r="C33" s="23">
        <f t="shared" si="10"/>
        <v>378.65289114057043</v>
      </c>
      <c r="D33" s="52">
        <v>0.02</v>
      </c>
      <c r="E33" s="23">
        <f t="shared" si="11"/>
        <v>7.5730578228114087</v>
      </c>
      <c r="F33" s="23">
        <f t="shared" si="11"/>
        <v>202.26819414913567</v>
      </c>
      <c r="G33" s="52">
        <v>0.2</v>
      </c>
      <c r="H33" s="23">
        <f t="shared" si="12"/>
        <v>40.453638829827135</v>
      </c>
      <c r="I33" s="23">
        <f t="shared" si="12"/>
        <v>5.2352326467705383</v>
      </c>
      <c r="J33" s="52">
        <v>0.15</v>
      </c>
      <c r="K33" s="23">
        <f t="shared" si="13"/>
        <v>0.78528489701558069</v>
      </c>
      <c r="L33" s="13">
        <f t="shared" si="14"/>
        <v>586.15631793647663</v>
      </c>
      <c r="M33" s="13">
        <f t="shared" si="15"/>
        <v>48.811981549654121</v>
      </c>
    </row>
    <row r="34" spans="2:16" x14ac:dyDescent="0.35">
      <c r="B34" s="12" t="s">
        <v>598</v>
      </c>
      <c r="C34" s="23">
        <f t="shared" si="10"/>
        <v>744.9334572979833</v>
      </c>
      <c r="D34" s="52">
        <v>0.05</v>
      </c>
      <c r="E34" s="23">
        <f t="shared" si="11"/>
        <v>37.246672864899168</v>
      </c>
      <c r="F34" s="23">
        <f t="shared" si="11"/>
        <v>441.16000733779941</v>
      </c>
      <c r="G34" s="52">
        <v>0.25</v>
      </c>
      <c r="H34" s="23">
        <f t="shared" si="12"/>
        <v>110.29000183444985</v>
      </c>
      <c r="I34" s="23">
        <f t="shared" si="12"/>
        <v>4.7729586350836666</v>
      </c>
      <c r="J34" s="52">
        <v>0.2</v>
      </c>
      <c r="K34" s="23">
        <f t="shared" si="13"/>
        <v>0.95459172701673334</v>
      </c>
      <c r="L34" s="13">
        <f t="shared" si="14"/>
        <v>1190.8664232708663</v>
      </c>
      <c r="M34" s="13">
        <f t="shared" si="15"/>
        <v>148.49126642636574</v>
      </c>
    </row>
    <row r="35" spans="2:16" x14ac:dyDescent="0.35">
      <c r="B35" s="12" t="s">
        <v>599</v>
      </c>
      <c r="C35" s="23">
        <f t="shared" si="10"/>
        <v>1350.5575244383074</v>
      </c>
      <c r="D35" s="52">
        <v>0.1</v>
      </c>
      <c r="E35" s="23">
        <f t="shared" si="11"/>
        <v>135.05575244383076</v>
      </c>
      <c r="F35" s="23">
        <f t="shared" si="11"/>
        <v>645.07069786074783</v>
      </c>
      <c r="G35" s="52">
        <v>0.3</v>
      </c>
      <c r="H35" s="23">
        <f t="shared" si="12"/>
        <v>193.52120935822435</v>
      </c>
      <c r="I35" s="23">
        <f t="shared" si="12"/>
        <v>40.149449831355717</v>
      </c>
      <c r="J35" s="52">
        <v>0.3</v>
      </c>
      <c r="K35" s="23">
        <f t="shared" si="13"/>
        <v>12.044834949406715</v>
      </c>
      <c r="L35" s="13">
        <f t="shared" si="14"/>
        <v>2035.777672130411</v>
      </c>
      <c r="M35" s="13">
        <f t="shared" si="15"/>
        <v>340.62179675146183</v>
      </c>
    </row>
    <row r="36" spans="2:16" x14ac:dyDescent="0.35">
      <c r="B36" s="12" t="s">
        <v>600</v>
      </c>
      <c r="C36" s="23">
        <f t="shared" si="10"/>
        <v>989.5528253118689</v>
      </c>
      <c r="D36" s="52">
        <v>0.15</v>
      </c>
      <c r="E36" s="23">
        <f t="shared" si="11"/>
        <v>148.43292379678033</v>
      </c>
      <c r="F36" s="23">
        <f t="shared" si="11"/>
        <v>937.62013450670713</v>
      </c>
      <c r="G36" s="52">
        <v>0.4</v>
      </c>
      <c r="H36" s="23">
        <f t="shared" si="12"/>
        <v>375.04805380268289</v>
      </c>
      <c r="I36" s="23">
        <f t="shared" si="12"/>
        <v>15.339733408344959</v>
      </c>
      <c r="J36" s="52">
        <v>0.3</v>
      </c>
      <c r="K36" s="23">
        <f t="shared" si="13"/>
        <v>4.6019200225034878</v>
      </c>
      <c r="L36" s="13">
        <f t="shared" si="14"/>
        <v>1942.5126932269211</v>
      </c>
      <c r="M36" s="13">
        <f t="shared" si="15"/>
        <v>528.08289762196671</v>
      </c>
    </row>
    <row r="37" spans="2:16" x14ac:dyDescent="0.35">
      <c r="B37" s="12" t="s">
        <v>601</v>
      </c>
      <c r="C37" s="23">
        <f t="shared" si="10"/>
        <v>453.82558767346285</v>
      </c>
      <c r="D37" s="52">
        <v>0.2</v>
      </c>
      <c r="E37" s="23">
        <f t="shared" si="11"/>
        <v>90.765117534692578</v>
      </c>
      <c r="F37" s="23">
        <f t="shared" si="11"/>
        <v>536.01688899840565</v>
      </c>
      <c r="G37" s="52">
        <v>0.5</v>
      </c>
      <c r="H37" s="23">
        <f t="shared" si="12"/>
        <v>268.00844449920282</v>
      </c>
      <c r="I37" s="23">
        <f t="shared" si="12"/>
        <v>18.858644738416658</v>
      </c>
      <c r="J37" s="52">
        <v>0.35</v>
      </c>
      <c r="K37" s="23">
        <f t="shared" si="13"/>
        <v>6.6005256584458296</v>
      </c>
      <c r="L37" s="13">
        <f t="shared" si="14"/>
        <v>1008.7011214102852</v>
      </c>
      <c r="M37" s="13">
        <f t="shared" si="15"/>
        <v>365.37408769234122</v>
      </c>
    </row>
    <row r="38" spans="2:16" x14ac:dyDescent="0.35">
      <c r="B38" s="12" t="s">
        <v>602</v>
      </c>
      <c r="C38" s="23">
        <f t="shared" si="10"/>
        <v>129.33893001234196</v>
      </c>
      <c r="D38" s="52">
        <v>1</v>
      </c>
      <c r="E38" s="23">
        <f t="shared" si="11"/>
        <v>129.33893001234196</v>
      </c>
      <c r="F38" s="23">
        <f t="shared" si="11"/>
        <v>925.77428629541737</v>
      </c>
      <c r="G38" s="52">
        <v>1</v>
      </c>
      <c r="H38" s="23">
        <f t="shared" si="12"/>
        <v>925.77428629541737</v>
      </c>
      <c r="I38" s="23">
        <f t="shared" si="12"/>
        <v>129.01215707930587</v>
      </c>
      <c r="J38" s="52">
        <v>1</v>
      </c>
      <c r="K38" s="23">
        <f t="shared" si="13"/>
        <v>129.01215707930587</v>
      </c>
      <c r="L38" s="13">
        <f t="shared" si="14"/>
        <v>1184.1253733870651</v>
      </c>
      <c r="M38" s="13">
        <f t="shared" si="15"/>
        <v>1184.1253733870651</v>
      </c>
    </row>
    <row r="39" spans="2:16" x14ac:dyDescent="0.35">
      <c r="B39" s="26" t="s">
        <v>571</v>
      </c>
      <c r="C39" s="73">
        <f>SUM(C31:C38)</f>
        <v>5436.3709722000031</v>
      </c>
      <c r="D39" s="73"/>
      <c r="E39" s="73">
        <f>SUM(E31:E38)</f>
        <v>557.91644654521633</v>
      </c>
      <c r="F39" s="73">
        <f>SUM(F31:F38)</f>
        <v>4049.4936697000007</v>
      </c>
      <c r="G39" s="26"/>
      <c r="H39" s="73">
        <f>SUM(H31:H38)</f>
        <v>1959.0029254601106</v>
      </c>
      <c r="I39" s="73">
        <f>SUM(I31:I38)</f>
        <v>226.31061009999985</v>
      </c>
      <c r="J39" s="73"/>
      <c r="K39" s="73">
        <f>SUM(K31:K38)</f>
        <v>154.89932311874031</v>
      </c>
      <c r="L39" s="73">
        <f>SUM(L31:L38)</f>
        <v>9712.1752520000045</v>
      </c>
      <c r="M39" s="73">
        <f>SUM(M31:M38)</f>
        <v>2671.8186951240668</v>
      </c>
    </row>
    <row r="42" spans="2:16" x14ac:dyDescent="0.35">
      <c r="H42" s="8" t="s">
        <v>607</v>
      </c>
      <c r="M42" s="77">
        <v>2655.2977912747406</v>
      </c>
      <c r="O42" s="23"/>
      <c r="P42" s="13"/>
    </row>
    <row r="43" spans="2:16" x14ac:dyDescent="0.35">
      <c r="H43" s="8" t="s">
        <v>608</v>
      </c>
      <c r="M43" s="77">
        <f>M39-M42</f>
        <v>16.52090384932626</v>
      </c>
      <c r="O43" s="13"/>
    </row>
    <row r="44" spans="2:16" x14ac:dyDescent="0.35"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170">
        <f>M43/12</f>
        <v>1.3767419874438549</v>
      </c>
    </row>
  </sheetData>
  <mergeCells count="1">
    <mergeCell ref="F2:H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0089-E04D-4D78-9E8E-A23A2733FDCE}">
  <sheetPr>
    <tabColor theme="7" tint="0.79998168889431442"/>
  </sheetPr>
  <dimension ref="A1:AD222"/>
  <sheetViews>
    <sheetView topLeftCell="A187" workbookViewId="0">
      <selection activeCell="A202" sqref="A202"/>
    </sheetView>
  </sheetViews>
  <sheetFormatPr defaultColWidth="9.08984375" defaultRowHeight="13" x14ac:dyDescent="0.3"/>
  <cols>
    <col min="1" max="1" width="2.36328125" style="1" customWidth="1"/>
    <col min="2" max="2" width="42.6328125" style="1" customWidth="1"/>
    <col min="3" max="3" width="5.36328125" style="1" bestFit="1" customWidth="1"/>
    <col min="4" max="4" width="6" style="1" bestFit="1" customWidth="1"/>
    <col min="5" max="5" width="22.90625" style="1" customWidth="1"/>
    <col min="6" max="6" width="24.36328125" style="1" customWidth="1"/>
    <col min="7" max="7" width="21.453125" style="1" customWidth="1"/>
    <col min="8" max="9" width="20.08984375" style="1" customWidth="1"/>
    <col min="10" max="10" width="31.90625" style="1" bestFit="1" customWidth="1"/>
    <col min="11" max="11" width="37.08984375" style="1" bestFit="1" customWidth="1"/>
    <col min="12" max="12" width="7.90625" style="1" bestFit="1" customWidth="1"/>
    <col min="13" max="13" width="16.6328125" style="2" bestFit="1" customWidth="1"/>
    <col min="14" max="15" width="16.6328125" style="1" bestFit="1" customWidth="1"/>
    <col min="16" max="17" width="16.6328125" style="14" bestFit="1" customWidth="1"/>
    <col min="18" max="22" width="16.6328125" style="1" bestFit="1" customWidth="1"/>
    <col min="23" max="24" width="15.36328125" style="1" bestFit="1" customWidth="1"/>
    <col min="25" max="25" width="16.81640625" style="1" hidden="1" customWidth="1"/>
    <col min="26" max="26" width="16.90625" style="1" hidden="1" customWidth="1"/>
    <col min="27" max="28" width="16.6328125" style="1" customWidth="1"/>
    <col min="29" max="29" width="17.08984375" style="1" customWidth="1"/>
    <col min="30" max="263" width="11.453125" style="1" customWidth="1"/>
    <col min="264" max="16384" width="9.08984375" style="1"/>
  </cols>
  <sheetData>
    <row r="1" spans="1:29" ht="14.5" x14ac:dyDescent="0.35">
      <c r="B1" s="8" t="s">
        <v>513</v>
      </c>
    </row>
    <row r="2" spans="1:29" x14ac:dyDescent="0.3">
      <c r="B2" s="3" t="s">
        <v>0</v>
      </c>
      <c r="C2" s="4" t="s">
        <v>1</v>
      </c>
      <c r="D2" s="4" t="s">
        <v>196</v>
      </c>
      <c r="E2" s="4" t="s">
        <v>224</v>
      </c>
      <c r="F2" s="4" t="s">
        <v>225</v>
      </c>
      <c r="G2" s="11" t="s">
        <v>228</v>
      </c>
      <c r="H2" s="11" t="s">
        <v>233</v>
      </c>
      <c r="I2" s="11" t="s">
        <v>537</v>
      </c>
      <c r="J2" s="11" t="s">
        <v>260</v>
      </c>
      <c r="K2" s="11" t="s">
        <v>259</v>
      </c>
      <c r="L2" s="11" t="s">
        <v>539</v>
      </c>
      <c r="M2" s="36" t="s">
        <v>199</v>
      </c>
      <c r="N2" s="37" t="s">
        <v>208</v>
      </c>
      <c r="O2" s="37" t="s">
        <v>209</v>
      </c>
      <c r="P2" s="38" t="s">
        <v>210</v>
      </c>
      <c r="Q2" s="38" t="s">
        <v>211</v>
      </c>
      <c r="R2" s="37" t="s">
        <v>212</v>
      </c>
      <c r="S2" s="37" t="s">
        <v>213</v>
      </c>
      <c r="T2" s="37" t="s">
        <v>214</v>
      </c>
      <c r="U2" s="37" t="s">
        <v>215</v>
      </c>
      <c r="V2" s="37" t="s">
        <v>216</v>
      </c>
      <c r="W2" s="37" t="s">
        <v>217</v>
      </c>
      <c r="X2" s="37" t="s">
        <v>218</v>
      </c>
      <c r="Y2" s="37" t="s">
        <v>219</v>
      </c>
      <c r="Z2" s="110" t="s">
        <v>611</v>
      </c>
      <c r="AA2" s="36" t="s">
        <v>637</v>
      </c>
      <c r="AB2" s="164" t="s">
        <v>645</v>
      </c>
      <c r="AC2" s="37" t="s">
        <v>471</v>
      </c>
    </row>
    <row r="3" spans="1:29" x14ac:dyDescent="0.3">
      <c r="B3" s="5" t="s">
        <v>5</v>
      </c>
      <c r="C3" s="5" t="s">
        <v>2</v>
      </c>
      <c r="D3" s="5" t="s">
        <v>197</v>
      </c>
      <c r="E3" s="5" t="s">
        <v>3</v>
      </c>
      <c r="F3" s="5" t="s">
        <v>226</v>
      </c>
      <c r="G3" s="5" t="s">
        <v>229</v>
      </c>
      <c r="H3" s="5" t="s">
        <v>4</v>
      </c>
      <c r="I3" s="5" t="s">
        <v>511</v>
      </c>
      <c r="J3" s="5" t="s">
        <v>200</v>
      </c>
      <c r="K3" s="5" t="s">
        <v>200</v>
      </c>
      <c r="L3" s="5">
        <f>_xlfn.XLOOKUP(TB_Kochi[[#This Row],[MIS_Group1]],PL_Consol!B:B,PL_Consol!C:C)</f>
        <v>2</v>
      </c>
      <c r="M3" s="16">
        <v>-96184014.790000007</v>
      </c>
      <c r="N3" s="16">
        <v>-113186298.8</v>
      </c>
      <c r="O3" s="16">
        <v>-101984776.26000001</v>
      </c>
      <c r="P3" s="16">
        <v>-121066134.72</v>
      </c>
      <c r="Q3" s="16">
        <v>-117036131.55</v>
      </c>
      <c r="R3" s="16">
        <v>-123317924.59</v>
      </c>
      <c r="S3" s="16">
        <v>-116158530.01000001</v>
      </c>
      <c r="T3" s="16">
        <v>-101605222.84999999</v>
      </c>
      <c r="U3" s="16">
        <v>-109965992.36</v>
      </c>
      <c r="V3" s="17">
        <v>-126560988.82000001</v>
      </c>
      <c r="W3" s="17">
        <v>-114067378.86999999</v>
      </c>
      <c r="X3" s="17">
        <v>-118754585.80000001</v>
      </c>
      <c r="Y3" s="18">
        <f>SUM(TB_Kochi[[#This Row],[Apr]:[Mar]])</f>
        <v>-1359887979.4199998</v>
      </c>
      <c r="Z3" s="89">
        <v>-1359887979.4200001</v>
      </c>
      <c r="AA3" s="18">
        <v>-136885409.05999997</v>
      </c>
      <c r="AB3" s="17">
        <f>IFERROR(_xlfn.XLOOKUP(TB_Kochi[[#This Row],[Description]],[1]trialbalancePDS.rpt!$K$1:$K$65536,[1]trialbalancePDS.rpt!$J$1:$J$65536,0),0)</f>
        <v>-142126544.43000001</v>
      </c>
      <c r="AC3" s="18"/>
    </row>
    <row r="4" spans="1:29" x14ac:dyDescent="0.3">
      <c r="B4" s="5" t="s">
        <v>6</v>
      </c>
      <c r="C4" s="5" t="s">
        <v>2</v>
      </c>
      <c r="D4" s="5" t="s">
        <v>197</v>
      </c>
      <c r="E4" s="5" t="s">
        <v>3</v>
      </c>
      <c r="F4" s="5" t="s">
        <v>226</v>
      </c>
      <c r="G4" s="5" t="s">
        <v>229</v>
      </c>
      <c r="H4" s="5" t="s">
        <v>4</v>
      </c>
      <c r="I4" s="5" t="s">
        <v>511</v>
      </c>
      <c r="J4" s="5" t="s">
        <v>201</v>
      </c>
      <c r="K4" s="5" t="s">
        <v>201</v>
      </c>
      <c r="L4" s="5">
        <f>_xlfn.XLOOKUP(TB_Kochi[[#This Row],[MIS_Group1]],PL_Consol!B:B,PL_Consol!C:C)</f>
        <v>4</v>
      </c>
      <c r="M4" s="16">
        <v>-31909929.109999999</v>
      </c>
      <c r="N4" s="16">
        <v>-34437129.75</v>
      </c>
      <c r="O4" s="16">
        <v>-29671130.940000001</v>
      </c>
      <c r="P4" s="16">
        <v>-34585091.920000002</v>
      </c>
      <c r="Q4" s="16">
        <v>-38377024.149999999</v>
      </c>
      <c r="R4" s="16">
        <v>-33965044.630000003</v>
      </c>
      <c r="S4" s="16">
        <v>-34397601.740000002</v>
      </c>
      <c r="T4" s="16">
        <v>-30420595.620000001</v>
      </c>
      <c r="U4" s="16">
        <v>-33454759.259999998</v>
      </c>
      <c r="V4" s="17">
        <v>-36940364.229999997</v>
      </c>
      <c r="W4" s="17">
        <v>-32876717.710000001</v>
      </c>
      <c r="X4" s="17">
        <v>-34327529.190000005</v>
      </c>
      <c r="Y4" s="17">
        <f>SUM(TB_Kochi[[#This Row],[Apr]:[Mar]])</f>
        <v>-405362918.25</v>
      </c>
      <c r="Z4" s="89">
        <v>-405362918.25</v>
      </c>
      <c r="AA4" s="17">
        <v>-34358329.5</v>
      </c>
      <c r="AB4" s="17">
        <f>IFERROR(_xlfn.XLOOKUP(TB_Kochi[[#This Row],[Description]],[1]trialbalancePDS.rpt!$K$1:$K$65536,[1]trialbalancePDS.rpt!$J$1:$J$65536,0),0)</f>
        <v>-34446518.019999996</v>
      </c>
      <c r="AC4" s="17"/>
    </row>
    <row r="5" spans="1:29" x14ac:dyDescent="0.3">
      <c r="A5" s="35"/>
      <c r="B5" s="5" t="s">
        <v>8</v>
      </c>
      <c r="C5" s="5" t="s">
        <v>2</v>
      </c>
      <c r="D5" s="5" t="s">
        <v>197</v>
      </c>
      <c r="E5" s="5" t="s">
        <v>3</v>
      </c>
      <c r="F5" s="5" t="s">
        <v>226</v>
      </c>
      <c r="G5" s="5" t="s">
        <v>7</v>
      </c>
      <c r="H5" s="5" t="s">
        <v>234</v>
      </c>
      <c r="I5" s="5" t="s">
        <v>511</v>
      </c>
      <c r="J5" s="5" t="s">
        <v>202</v>
      </c>
      <c r="K5" s="5" t="s">
        <v>202</v>
      </c>
      <c r="L5" s="5">
        <f>_xlfn.XLOOKUP(TB_Kochi[[#This Row],[MIS_Group1]],PL_Consol!B:B,PL_Consol!C:C)</f>
        <v>3</v>
      </c>
      <c r="M5" s="16">
        <v>-27185462.210000001</v>
      </c>
      <c r="N5" s="16">
        <v>-29881466.870000001</v>
      </c>
      <c r="O5" s="16">
        <v>-26814416.780000001</v>
      </c>
      <c r="P5" s="16">
        <v>-31557194.530000001</v>
      </c>
      <c r="Q5" s="16">
        <v>-31554238.059999999</v>
      </c>
      <c r="R5" s="16">
        <v>-29640444.16</v>
      </c>
      <c r="S5" s="16">
        <v>-30536847.140000001</v>
      </c>
      <c r="T5" s="16">
        <v>-27173010.25</v>
      </c>
      <c r="U5" s="16">
        <v>-27657095.48</v>
      </c>
      <c r="V5" s="17">
        <v>-30156513.18</v>
      </c>
      <c r="W5" s="17">
        <v>-30049359.489999998</v>
      </c>
      <c r="X5" s="17">
        <v>-26215214.829999998</v>
      </c>
      <c r="Y5" s="17">
        <f>SUM(TB_Kochi[[#This Row],[Apr]:[Mar]])</f>
        <v>-348421262.97999996</v>
      </c>
      <c r="Z5" s="89">
        <v>-348421262.98000002</v>
      </c>
      <c r="AA5" s="17">
        <v>-27183440.350000001</v>
      </c>
      <c r="AB5" s="17">
        <f>IFERROR(_xlfn.XLOOKUP(TB_Kochi[[#This Row],[Description]],[1]trialbalancePDS.rpt!$K$1:$K$65536,[1]trialbalancePDS.rpt!$J$1:$J$65536,0),0)</f>
        <v>-29143684.050000001</v>
      </c>
      <c r="AC5" s="17"/>
    </row>
    <row r="6" spans="1:29" x14ac:dyDescent="0.3">
      <c r="B6" s="5" t="s">
        <v>63</v>
      </c>
      <c r="C6" s="5" t="s">
        <v>2</v>
      </c>
      <c r="D6" s="5" t="s">
        <v>197</v>
      </c>
      <c r="E6" s="5" t="s">
        <v>3</v>
      </c>
      <c r="F6" s="5" t="s">
        <v>226</v>
      </c>
      <c r="G6" s="5" t="s">
        <v>7</v>
      </c>
      <c r="H6" s="5" t="s">
        <v>235</v>
      </c>
      <c r="I6" s="5" t="s">
        <v>511</v>
      </c>
      <c r="J6" s="5" t="s">
        <v>202</v>
      </c>
      <c r="K6" s="5" t="s">
        <v>202</v>
      </c>
      <c r="L6" s="5">
        <f>_xlfn.XLOOKUP(TB_Kochi[[#This Row],[MIS_Group1]],PL_Consol!B:B,PL_Consol!C:C)</f>
        <v>3</v>
      </c>
      <c r="M6" s="16">
        <v>-37885099.469999999</v>
      </c>
      <c r="N6" s="16">
        <v>-37494900.850000001</v>
      </c>
      <c r="O6" s="16">
        <v>-35766668.310000002</v>
      </c>
      <c r="P6" s="16">
        <v>-44487412.719999999</v>
      </c>
      <c r="Q6" s="16">
        <v>-41476566.07</v>
      </c>
      <c r="R6" s="16">
        <v>-41390493.119999997</v>
      </c>
      <c r="S6" s="16">
        <v>-40016350.460000001</v>
      </c>
      <c r="T6" s="16">
        <v>-36611558.649999999</v>
      </c>
      <c r="U6" s="16">
        <v>-38801140.600000001</v>
      </c>
      <c r="V6" s="17">
        <v>-45242462.229999997</v>
      </c>
      <c r="W6" s="17">
        <v>-37787988.189999998</v>
      </c>
      <c r="X6" s="17">
        <v>-36991296.689999998</v>
      </c>
      <c r="Y6" s="17">
        <f>SUM(TB_Kochi[[#This Row],[Apr]:[Mar]])</f>
        <v>-473951937.36000001</v>
      </c>
      <c r="Z6" s="89">
        <v>-473951937.36000001</v>
      </c>
      <c r="AA6" s="17">
        <v>-36872782.780000001</v>
      </c>
      <c r="AB6" s="17">
        <f>IFERROR(_xlfn.XLOOKUP(TB_Kochi[[#This Row],[Description]],[1]trialbalancePDS.rpt!$K$1:$K$65536,[1]trialbalancePDS.rpt!$J$1:$J$65536,0),0)</f>
        <v>-39699984.469999999</v>
      </c>
      <c r="AC6" s="17"/>
    </row>
    <row r="7" spans="1:29" x14ac:dyDescent="0.3">
      <c r="B7" s="5" t="s">
        <v>64</v>
      </c>
      <c r="C7" s="5" t="s">
        <v>2</v>
      </c>
      <c r="D7" s="5" t="s">
        <v>197</v>
      </c>
      <c r="E7" s="5" t="s">
        <v>3</v>
      </c>
      <c r="F7" s="5" t="s">
        <v>226</v>
      </c>
      <c r="G7" s="5" t="s">
        <v>7</v>
      </c>
      <c r="H7" s="5" t="s">
        <v>236</v>
      </c>
      <c r="I7" s="5" t="s">
        <v>511</v>
      </c>
      <c r="J7" s="5" t="s">
        <v>203</v>
      </c>
      <c r="K7" s="5" t="s">
        <v>203</v>
      </c>
      <c r="L7" s="5">
        <f>_xlfn.XLOOKUP(TB_Kochi[[#This Row],[MIS_Group1]],PL_Consol!B:B,PL_Consol!C:C)</f>
        <v>1</v>
      </c>
      <c r="M7" s="16">
        <v>-58677</v>
      </c>
      <c r="N7" s="16">
        <v>-73310.16</v>
      </c>
      <c r="O7" s="16">
        <v>-70221.2</v>
      </c>
      <c r="P7" s="16">
        <v>-89383</v>
      </c>
      <c r="Q7" s="16">
        <v>-96011</v>
      </c>
      <c r="R7" s="16">
        <v>-88389.83</v>
      </c>
      <c r="S7" s="16">
        <v>-87687.29</v>
      </c>
      <c r="T7" s="16">
        <v>-86790.68</v>
      </c>
      <c r="U7" s="16">
        <v>-90235.59</v>
      </c>
      <c r="V7" s="17">
        <v>-79527.12</v>
      </c>
      <c r="W7" s="17">
        <v>-86283.05</v>
      </c>
      <c r="X7" s="17">
        <v>-66345.759999999995</v>
      </c>
      <c r="Y7" s="17">
        <f>SUM(TB_Kochi[[#This Row],[Apr]:[Mar]])</f>
        <v>-972861.67999999993</v>
      </c>
      <c r="Z7" s="89">
        <v>-972861.68</v>
      </c>
      <c r="AA7" s="17">
        <v>-89511.86</v>
      </c>
      <c r="AB7" s="17">
        <f>IFERROR(_xlfn.XLOOKUP(TB_Kochi[[#This Row],[Description]],[1]trialbalancePDS.rpt!$K$1:$K$65536,[1]trialbalancePDS.rpt!$J$1:$J$65536,0),0)</f>
        <v>-85205.08</v>
      </c>
      <c r="AC7" s="17"/>
    </row>
    <row r="8" spans="1:29" x14ac:dyDescent="0.3">
      <c r="B8" s="5" t="s">
        <v>65</v>
      </c>
      <c r="C8" s="5" t="s">
        <v>2</v>
      </c>
      <c r="D8" s="5" t="s">
        <v>197</v>
      </c>
      <c r="E8" s="5" t="s">
        <v>3</v>
      </c>
      <c r="F8" s="5" t="s">
        <v>226</v>
      </c>
      <c r="G8" s="5" t="s">
        <v>7</v>
      </c>
      <c r="H8" s="5" t="s">
        <v>236</v>
      </c>
      <c r="I8" s="5" t="s">
        <v>511</v>
      </c>
      <c r="J8" s="5" t="s">
        <v>203</v>
      </c>
      <c r="K8" s="5" t="s">
        <v>203</v>
      </c>
      <c r="L8" s="5">
        <f>_xlfn.XLOOKUP(TB_Kochi[[#This Row],[MIS_Group1]],PL_Consol!B:B,PL_Consol!C:C)</f>
        <v>1</v>
      </c>
      <c r="M8" s="16">
        <v>-27258164</v>
      </c>
      <c r="N8" s="16">
        <v>-30406887.5</v>
      </c>
      <c r="O8" s="16">
        <v>-26815632.5</v>
      </c>
      <c r="P8" s="16">
        <v>-31869736</v>
      </c>
      <c r="Q8" s="16">
        <v>-34350791</v>
      </c>
      <c r="R8" s="16">
        <v>-32981903</v>
      </c>
      <c r="S8" s="16">
        <v>-34932143</v>
      </c>
      <c r="T8" s="16">
        <v>-32506219</v>
      </c>
      <c r="U8" s="16">
        <v>-34945197</v>
      </c>
      <c r="V8" s="17">
        <v>-39245926</v>
      </c>
      <c r="W8" s="17">
        <v>-37502445</v>
      </c>
      <c r="X8" s="17">
        <v>-33764713</v>
      </c>
      <c r="Y8" s="17">
        <f>SUM(TB_Kochi[[#This Row],[Apr]:[Mar]])</f>
        <v>-396579757</v>
      </c>
      <c r="Z8" s="89">
        <v>-396579757</v>
      </c>
      <c r="AA8" s="17">
        <v>-39753293</v>
      </c>
      <c r="AB8" s="17">
        <f>IFERROR(_xlfn.XLOOKUP(TB_Kochi[[#This Row],[Description]],[1]trialbalancePDS.rpt!$K$1:$K$65536,[1]trialbalancePDS.rpt!$J$1:$J$65536,0),0)</f>
        <v>-42847739</v>
      </c>
      <c r="AC8" s="17"/>
    </row>
    <row r="9" spans="1:29" x14ac:dyDescent="0.3">
      <c r="B9" s="5" t="s">
        <v>66</v>
      </c>
      <c r="C9" s="5" t="s">
        <v>2</v>
      </c>
      <c r="D9" s="5" t="s">
        <v>197</v>
      </c>
      <c r="E9" s="5" t="s">
        <v>3</v>
      </c>
      <c r="F9" s="5" t="s">
        <v>226</v>
      </c>
      <c r="G9" s="5" t="s">
        <v>7</v>
      </c>
      <c r="H9" s="5" t="s">
        <v>236</v>
      </c>
      <c r="I9" s="5" t="s">
        <v>511</v>
      </c>
      <c r="J9" s="5" t="s">
        <v>203</v>
      </c>
      <c r="K9" s="5" t="s">
        <v>203</v>
      </c>
      <c r="L9" s="5">
        <f>_xlfn.XLOOKUP(TB_Kochi[[#This Row],[MIS_Group1]],PL_Consol!B:B,PL_Consol!C:C)</f>
        <v>1</v>
      </c>
      <c r="M9" s="16">
        <v>-108538047.16</v>
      </c>
      <c r="N9" s="16">
        <v>-118290880.19</v>
      </c>
      <c r="O9" s="16">
        <v>-102234758.92</v>
      </c>
      <c r="P9" s="16">
        <v>-120715932.81999999</v>
      </c>
      <c r="Q9" s="16">
        <v>-131704643.45</v>
      </c>
      <c r="R9" s="16">
        <v>-125527074.08</v>
      </c>
      <c r="S9" s="16">
        <v>-127739170.02</v>
      </c>
      <c r="T9" s="16">
        <v>-113564107.81999999</v>
      </c>
      <c r="U9" s="16">
        <v>-122172428.59999999</v>
      </c>
      <c r="V9" s="17">
        <v>-141024649.25</v>
      </c>
      <c r="W9" s="17">
        <v>-126632422.3</v>
      </c>
      <c r="X9" s="17">
        <v>-118806341.75</v>
      </c>
      <c r="Y9" s="17">
        <f>SUM(TB_Kochi[[#This Row],[Apr]:[Mar]])</f>
        <v>-1456950456.3599999</v>
      </c>
      <c r="Z9" s="89">
        <v>-1456950456.3599999</v>
      </c>
      <c r="AA9" s="17">
        <v>-141239684.08000001</v>
      </c>
      <c r="AB9" s="17">
        <f>IFERROR(_xlfn.XLOOKUP(TB_Kochi[[#This Row],[Description]],[1]trialbalancePDS.rpt!$K$1:$K$65536,[1]trialbalancePDS.rpt!$J$1:$J$65536,0),0)</f>
        <v>-144043409.90000001</v>
      </c>
      <c r="AC9" s="17"/>
    </row>
    <row r="10" spans="1:29" x14ac:dyDescent="0.3">
      <c r="B10" s="5" t="s">
        <v>67</v>
      </c>
      <c r="C10" s="5" t="s">
        <v>2</v>
      </c>
      <c r="D10" s="5" t="s">
        <v>197</v>
      </c>
      <c r="E10" s="5" t="s">
        <v>3</v>
      </c>
      <c r="F10" s="5" t="s">
        <v>226</v>
      </c>
      <c r="G10" s="5" t="s">
        <v>7</v>
      </c>
      <c r="H10" s="5" t="s">
        <v>237</v>
      </c>
      <c r="I10" s="5" t="s">
        <v>511</v>
      </c>
      <c r="J10" s="5" t="s">
        <v>202</v>
      </c>
      <c r="K10" s="5" t="s">
        <v>202</v>
      </c>
      <c r="L10" s="5">
        <f>_xlfn.XLOOKUP(TB_Kochi[[#This Row],[MIS_Group1]],PL_Consol!B:B,PL_Consol!C:C)</f>
        <v>3</v>
      </c>
      <c r="M10" s="16">
        <v>0</v>
      </c>
      <c r="N10" s="16">
        <v>-247165.7</v>
      </c>
      <c r="O10" s="16">
        <v>0</v>
      </c>
      <c r="P10" s="16">
        <v>0</v>
      </c>
      <c r="Q10" s="16">
        <v>0</v>
      </c>
      <c r="R10" s="16">
        <v>-327840.8</v>
      </c>
      <c r="S10" s="16">
        <v>0</v>
      </c>
      <c r="T10" s="16">
        <v>-740852</v>
      </c>
      <c r="U10" s="16">
        <v>0</v>
      </c>
      <c r="V10" s="17">
        <v>-479864</v>
      </c>
      <c r="W10" s="17">
        <v>0</v>
      </c>
      <c r="X10" s="17">
        <v>0</v>
      </c>
      <c r="Y10" s="17">
        <f>SUM(TB_Kochi[[#This Row],[Apr]:[Mar]])</f>
        <v>-1795722.5</v>
      </c>
      <c r="Z10" s="89">
        <v>-1795722.5</v>
      </c>
      <c r="AA10" s="17">
        <v>0</v>
      </c>
      <c r="AB10" s="17">
        <f>IFERROR(_xlfn.XLOOKUP(TB_Kochi[[#This Row],[Description]],[1]trialbalancePDS.rpt!$K$1:$K$65536,[1]trialbalancePDS.rpt!$J$1:$J$65536,0),0)</f>
        <v>-703796.8</v>
      </c>
      <c r="AC10" s="17"/>
    </row>
    <row r="11" spans="1:29" x14ac:dyDescent="0.3">
      <c r="B11" s="5" t="s">
        <v>68</v>
      </c>
      <c r="C11" s="5" t="s">
        <v>2</v>
      </c>
      <c r="D11" s="5" t="s">
        <v>197</v>
      </c>
      <c r="E11" s="5" t="s">
        <v>3</v>
      </c>
      <c r="F11" s="5" t="s">
        <v>226</v>
      </c>
      <c r="G11" s="5" t="s">
        <v>230</v>
      </c>
      <c r="H11" s="5" t="s">
        <v>230</v>
      </c>
      <c r="I11" s="5" t="s">
        <v>511</v>
      </c>
      <c r="J11" s="5" t="s">
        <v>202</v>
      </c>
      <c r="K11" s="5" t="s">
        <v>202</v>
      </c>
      <c r="L11" s="5">
        <f>_xlfn.XLOOKUP(TB_Kochi[[#This Row],[MIS_Group1]],PL_Consol!B:B,PL_Consol!C:C)</f>
        <v>3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7">
        <v>0</v>
      </c>
      <c r="W11" s="17">
        <v>0</v>
      </c>
      <c r="X11" s="17">
        <v>0</v>
      </c>
      <c r="Y11" s="17">
        <f>SUM(TB_Kochi[[#This Row],[Apr]:[Mar]])</f>
        <v>0</v>
      </c>
      <c r="Z11" s="89">
        <v>0</v>
      </c>
      <c r="AA11" s="17">
        <v>0</v>
      </c>
      <c r="AB11" s="17">
        <f>IFERROR(_xlfn.XLOOKUP(TB_Kochi[[#This Row],[Description]],[1]trialbalancePDS.rpt!$K$1:$K$65536,[1]trialbalancePDS.rpt!$J$1:$J$65536,0),0)</f>
        <v>0</v>
      </c>
      <c r="AC11" s="17"/>
    </row>
    <row r="12" spans="1:29" x14ac:dyDescent="0.3">
      <c r="B12" s="5" t="s">
        <v>69</v>
      </c>
      <c r="C12" s="5" t="s">
        <v>2</v>
      </c>
      <c r="D12" s="5" t="s">
        <v>197</v>
      </c>
      <c r="E12" s="5" t="s">
        <v>3</v>
      </c>
      <c r="F12" s="5" t="s">
        <v>226</v>
      </c>
      <c r="G12" s="5" t="s">
        <v>230</v>
      </c>
      <c r="H12" s="5" t="s">
        <v>230</v>
      </c>
      <c r="I12" s="5" t="s">
        <v>511</v>
      </c>
      <c r="J12" s="5" t="s">
        <v>201</v>
      </c>
      <c r="K12" s="5" t="s">
        <v>201</v>
      </c>
      <c r="L12" s="5">
        <f>_xlfn.XLOOKUP(TB_Kochi[[#This Row],[MIS_Group1]],PL_Consol!B:B,PL_Consol!C:C)</f>
        <v>4</v>
      </c>
      <c r="M12" s="16">
        <v>618.84</v>
      </c>
      <c r="N12" s="16">
        <v>5259.38</v>
      </c>
      <c r="O12" s="16">
        <v>2952.57</v>
      </c>
      <c r="P12" s="16">
        <v>4105.74</v>
      </c>
      <c r="Q12" s="16">
        <v>1477.02</v>
      </c>
      <c r="R12" s="16">
        <v>1843.67</v>
      </c>
      <c r="S12" s="16">
        <v>2470.58</v>
      </c>
      <c r="T12" s="16">
        <v>373.52</v>
      </c>
      <c r="U12" s="16">
        <v>3721.8</v>
      </c>
      <c r="V12" s="17">
        <v>3479.2</v>
      </c>
      <c r="W12" s="17">
        <v>1554.14</v>
      </c>
      <c r="X12" s="17">
        <v>5506.92</v>
      </c>
      <c r="Y12" s="17">
        <f>SUM(TB_Kochi[[#This Row],[Apr]:[Mar]])</f>
        <v>33363.380000000005</v>
      </c>
      <c r="Z12" s="89">
        <v>33363.379999999997</v>
      </c>
      <c r="AA12" s="17">
        <v>6615.79</v>
      </c>
      <c r="AB12" s="17">
        <f>IFERROR(_xlfn.XLOOKUP(TB_Kochi[[#This Row],[Description]],[1]trialbalancePDS.rpt!$K$1:$K$65536,[1]trialbalancePDS.rpt!$J$1:$J$65536,0),0)</f>
        <v>3770.89</v>
      </c>
      <c r="AC12" s="17"/>
    </row>
    <row r="13" spans="1:29" x14ac:dyDescent="0.3">
      <c r="B13" s="5" t="s">
        <v>10</v>
      </c>
      <c r="C13" s="5" t="s">
        <v>2</v>
      </c>
      <c r="D13" s="5" t="s">
        <v>197</v>
      </c>
      <c r="E13" s="5" t="s">
        <v>3</v>
      </c>
      <c r="F13" s="5" t="s">
        <v>9</v>
      </c>
      <c r="G13" s="5" t="s">
        <v>10</v>
      </c>
      <c r="H13" s="5" t="s">
        <v>10</v>
      </c>
      <c r="I13" s="5" t="s">
        <v>511</v>
      </c>
      <c r="J13" s="5" t="s">
        <v>12</v>
      </c>
      <c r="K13" s="5" t="s">
        <v>221</v>
      </c>
      <c r="L13" s="5">
        <f>_xlfn.XLOOKUP(TB_Kochi[[#This Row],[MIS_Group1]],PL_Consol!B:B,PL_Consol!C:C)</f>
        <v>7</v>
      </c>
      <c r="M13" s="16">
        <v>375000</v>
      </c>
      <c r="N13" s="16">
        <v>0</v>
      </c>
      <c r="O13" s="16">
        <v>0</v>
      </c>
      <c r="P13" s="16">
        <v>0</v>
      </c>
      <c r="Q13" s="16">
        <v>0</v>
      </c>
      <c r="R13" s="16">
        <v>-125000</v>
      </c>
      <c r="S13" s="16">
        <v>0</v>
      </c>
      <c r="T13" s="16">
        <v>0</v>
      </c>
      <c r="U13" s="16">
        <v>0</v>
      </c>
      <c r="V13" s="17">
        <v>-200000</v>
      </c>
      <c r="W13" s="17">
        <v>0</v>
      </c>
      <c r="X13" s="17">
        <v>0</v>
      </c>
      <c r="Y13" s="17">
        <f>SUM(TB_Kochi[[#This Row],[Apr]:[Mar]])</f>
        <v>50000</v>
      </c>
      <c r="Z13" s="89">
        <v>50000</v>
      </c>
      <c r="AA13" s="17">
        <v>0</v>
      </c>
      <c r="AB13" s="17">
        <f>IFERROR(_xlfn.XLOOKUP(TB_Kochi[[#This Row],[Description]],[1]trialbalancePDS.rpt!$K$1:$K$65536,[1]trialbalancePDS.rpt!$J$1:$J$65536,0),0)</f>
        <v>-250000</v>
      </c>
      <c r="AC13" s="17"/>
    </row>
    <row r="14" spans="1:29" x14ac:dyDescent="0.3">
      <c r="B14" s="5" t="s">
        <v>11</v>
      </c>
      <c r="C14" s="5" t="s">
        <v>2</v>
      </c>
      <c r="D14" s="5" t="s">
        <v>197</v>
      </c>
      <c r="E14" s="5" t="s">
        <v>3</v>
      </c>
      <c r="F14" s="5" t="s">
        <v>227</v>
      </c>
      <c r="G14" s="5" t="s">
        <v>227</v>
      </c>
      <c r="H14" s="5" t="s">
        <v>227</v>
      </c>
      <c r="I14" s="5" t="s">
        <v>511</v>
      </c>
      <c r="J14" s="5" t="s">
        <v>261</v>
      </c>
      <c r="K14" s="5" t="s">
        <v>261</v>
      </c>
      <c r="L14" s="5">
        <f>_xlfn.XLOOKUP(TB_Kochi[[#This Row],[MIS_Group1]],PL_Consol!B:B,PL_Consol!C:C)</f>
        <v>5</v>
      </c>
      <c r="M14" s="16">
        <v>0</v>
      </c>
      <c r="N14" s="16">
        <v>0</v>
      </c>
      <c r="O14" s="16">
        <v>0</v>
      </c>
      <c r="P14" s="16">
        <v>-131200</v>
      </c>
      <c r="Q14" s="16">
        <v>-196550</v>
      </c>
      <c r="R14" s="16">
        <v>-28500</v>
      </c>
      <c r="S14" s="16">
        <v>-49000</v>
      </c>
      <c r="T14" s="16">
        <v>-41500</v>
      </c>
      <c r="U14" s="16">
        <v>-46900</v>
      </c>
      <c r="V14" s="17">
        <v>-23800</v>
      </c>
      <c r="W14" s="17">
        <v>-23623</v>
      </c>
      <c r="X14" s="17">
        <v>-62400</v>
      </c>
      <c r="Y14" s="17">
        <f>SUM(TB_Kochi[[#This Row],[Apr]:[Mar]])</f>
        <v>-603473</v>
      </c>
      <c r="Z14" s="89">
        <v>-603473</v>
      </c>
      <c r="AA14" s="17">
        <v>-6150</v>
      </c>
      <c r="AB14" s="17">
        <f>IFERROR(_xlfn.XLOOKUP(TB_Kochi[[#This Row],[Description]],[1]trialbalancePDS.rpt!$K$1:$K$65536,[1]trialbalancePDS.rpt!$J$1:$J$65536,0),0)</f>
        <v>-15000</v>
      </c>
      <c r="AC14" s="17"/>
    </row>
    <row r="15" spans="1:29" x14ac:dyDescent="0.3">
      <c r="B15" s="5" t="s">
        <v>14</v>
      </c>
      <c r="C15" s="5" t="s">
        <v>2</v>
      </c>
      <c r="D15" s="5" t="s">
        <v>197</v>
      </c>
      <c r="E15" s="5" t="s">
        <v>12</v>
      </c>
      <c r="F15" s="5" t="s">
        <v>13</v>
      </c>
      <c r="G15" s="5" t="s">
        <v>13</v>
      </c>
      <c r="H15" s="5" t="s">
        <v>13</v>
      </c>
      <c r="I15" s="5" t="s">
        <v>511</v>
      </c>
      <c r="J15" s="5" t="s">
        <v>12</v>
      </c>
      <c r="K15" s="5" t="s">
        <v>262</v>
      </c>
      <c r="L15" s="5">
        <f>_xlfn.XLOOKUP(TB_Kochi[[#This Row],[MIS_Group1]],PL_Consol!B:B,PL_Consol!C:C)</f>
        <v>7</v>
      </c>
      <c r="M15" s="16">
        <v>-103950.9</v>
      </c>
      <c r="N15" s="16">
        <v>-4605122.7</v>
      </c>
      <c r="O15" s="16">
        <v>-3940713.1</v>
      </c>
      <c r="P15" s="16">
        <v>0</v>
      </c>
      <c r="Q15" s="16">
        <v>-1112617</v>
      </c>
      <c r="R15" s="16">
        <v>-1546465.7</v>
      </c>
      <c r="S15" s="16">
        <v>-1333636</v>
      </c>
      <c r="T15" s="16">
        <v>-916099</v>
      </c>
      <c r="U15" s="16">
        <v>-43237</v>
      </c>
      <c r="V15" s="17">
        <v>-1393500</v>
      </c>
      <c r="W15" s="17">
        <v>-19717670</v>
      </c>
      <c r="X15" s="17">
        <v>-32743719.399999999</v>
      </c>
      <c r="Y15" s="17">
        <f>SUM(TB_Kochi[[#This Row],[Apr]:[Mar]])</f>
        <v>-67456730.799999997</v>
      </c>
      <c r="Z15" s="89">
        <v>-63586630.399999999</v>
      </c>
      <c r="AA15" s="17">
        <v>-3669478.29</v>
      </c>
      <c r="AB15" s="17">
        <f>IFERROR(_xlfn.XLOOKUP(TB_Kochi[[#This Row],[Description]],[1]trialbalancePDS.rpt!$K$1:$K$65536,[1]trialbalancePDS.rpt!$J$1:$J$65536,0),0)</f>
        <v>-19384.7</v>
      </c>
      <c r="AC15" s="17"/>
    </row>
    <row r="16" spans="1:29" x14ac:dyDescent="0.3">
      <c r="B16" s="5" t="s">
        <v>16</v>
      </c>
      <c r="C16" s="5" t="s">
        <v>2</v>
      </c>
      <c r="D16" s="5" t="s">
        <v>197</v>
      </c>
      <c r="E16" s="5" t="s">
        <v>12</v>
      </c>
      <c r="F16" s="5" t="s">
        <v>15</v>
      </c>
      <c r="G16" s="5" t="s">
        <v>15</v>
      </c>
      <c r="H16" s="5" t="s">
        <v>15</v>
      </c>
      <c r="I16" s="5" t="s">
        <v>511</v>
      </c>
      <c r="J16" s="5" t="s">
        <v>12</v>
      </c>
      <c r="K16" s="5" t="s">
        <v>263</v>
      </c>
      <c r="L16" s="5">
        <f>_xlfn.XLOOKUP(TB_Kochi[[#This Row],[MIS_Group1]],PL_Consol!B:B,PL_Consol!C:C)</f>
        <v>7</v>
      </c>
      <c r="M16" s="16">
        <v>0</v>
      </c>
      <c r="N16" s="16">
        <v>0</v>
      </c>
      <c r="O16" s="16">
        <v>-19500</v>
      </c>
      <c r="P16" s="16">
        <v>-283213</v>
      </c>
      <c r="Q16" s="16">
        <v>0</v>
      </c>
      <c r="R16" s="16">
        <v>-33222.74</v>
      </c>
      <c r="S16" s="16">
        <v>0</v>
      </c>
      <c r="T16" s="16">
        <v>0</v>
      </c>
      <c r="U16" s="16">
        <v>0</v>
      </c>
      <c r="V16" s="17">
        <v>-705121</v>
      </c>
      <c r="W16" s="17">
        <v>0</v>
      </c>
      <c r="X16" s="17">
        <v>-129940</v>
      </c>
      <c r="Y16" s="17">
        <f>SUM(TB_Kochi[[#This Row],[Apr]:[Mar]])</f>
        <v>-1170996.74</v>
      </c>
      <c r="Z16" s="89">
        <v>-1170996.74</v>
      </c>
      <c r="AA16" s="17">
        <v>-32996.720000000001</v>
      </c>
      <c r="AB16" s="17">
        <f>IFERROR(_xlfn.XLOOKUP(TB_Kochi[[#This Row],[Description]],[1]trialbalancePDS.rpt!$K$1:$K$65536,[1]trialbalancePDS.rpt!$J$1:$J$65536,0),0)</f>
        <v>0</v>
      </c>
      <c r="AC16" s="17"/>
    </row>
    <row r="17" spans="2:29" x14ac:dyDescent="0.3">
      <c r="B17" s="5" t="s">
        <v>17</v>
      </c>
      <c r="C17" s="5" t="s">
        <v>2</v>
      </c>
      <c r="D17" s="5" t="s">
        <v>197</v>
      </c>
      <c r="E17" s="5" t="s">
        <v>12</v>
      </c>
      <c r="F17" s="5" t="s">
        <v>15</v>
      </c>
      <c r="G17" s="5" t="s">
        <v>15</v>
      </c>
      <c r="H17" s="5" t="s">
        <v>15</v>
      </c>
      <c r="I17" s="5" t="s">
        <v>511</v>
      </c>
      <c r="J17" s="5" t="s">
        <v>12</v>
      </c>
      <c r="K17" s="5" t="s">
        <v>263</v>
      </c>
      <c r="L17" s="5">
        <f>_xlfn.XLOOKUP(TB_Kochi[[#This Row],[MIS_Group1]],PL_Consol!B:B,PL_Consol!C:C)</f>
        <v>7</v>
      </c>
      <c r="M17" s="16">
        <v>-2078</v>
      </c>
      <c r="N17" s="16">
        <v>-1867</v>
      </c>
      <c r="O17" s="16">
        <v>-883.06</v>
      </c>
      <c r="P17" s="16">
        <v>-14028</v>
      </c>
      <c r="Q17" s="16">
        <v>-2963</v>
      </c>
      <c r="R17" s="16">
        <v>-593</v>
      </c>
      <c r="S17" s="16">
        <v>-5542</v>
      </c>
      <c r="T17" s="16">
        <v>-5328</v>
      </c>
      <c r="U17" s="16">
        <v>-1990</v>
      </c>
      <c r="V17" s="17">
        <v>-13006</v>
      </c>
      <c r="W17" s="17">
        <v>-1335</v>
      </c>
      <c r="X17" s="17">
        <v>-2373</v>
      </c>
      <c r="Y17" s="17">
        <f>SUM(TB_Kochi[[#This Row],[Apr]:[Mar]])</f>
        <v>-51986.06</v>
      </c>
      <c r="Z17" s="89">
        <v>-51986.06</v>
      </c>
      <c r="AA17" s="17">
        <v>-1238</v>
      </c>
      <c r="AB17" s="17">
        <f>IFERROR(_xlfn.XLOOKUP(TB_Kochi[[#This Row],[Description]],[1]trialbalancePDS.rpt!$K$1:$K$65536,[1]trialbalancePDS.rpt!$J$1:$J$65536,0),0)</f>
        <v>-1632.22</v>
      </c>
      <c r="AC17" s="17"/>
    </row>
    <row r="18" spans="2:29" x14ac:dyDescent="0.3">
      <c r="B18" s="5" t="s">
        <v>18</v>
      </c>
      <c r="C18" s="5" t="s">
        <v>2</v>
      </c>
      <c r="D18" s="5" t="s">
        <v>197</v>
      </c>
      <c r="E18" s="5" t="s">
        <v>12</v>
      </c>
      <c r="F18" s="5" t="s">
        <v>15</v>
      </c>
      <c r="G18" s="5" t="s">
        <v>15</v>
      </c>
      <c r="H18" s="5" t="s">
        <v>15</v>
      </c>
      <c r="I18" s="5" t="s">
        <v>511</v>
      </c>
      <c r="J18" s="5" t="s">
        <v>12</v>
      </c>
      <c r="K18" s="5" t="s">
        <v>263</v>
      </c>
      <c r="L18" s="5">
        <f>_xlfn.XLOOKUP(TB_Kochi[[#This Row],[MIS_Group1]],PL_Consol!B:B,PL_Consol!C:C)</f>
        <v>7</v>
      </c>
      <c r="M18" s="16">
        <v>25840</v>
      </c>
      <c r="N18" s="16">
        <v>-15000</v>
      </c>
      <c r="O18" s="16">
        <v>0</v>
      </c>
      <c r="P18" s="16">
        <v>-48333</v>
      </c>
      <c r="Q18" s="16">
        <v>-49259</v>
      </c>
      <c r="R18" s="16">
        <v>-87480</v>
      </c>
      <c r="S18" s="16">
        <v>-115956</v>
      </c>
      <c r="T18" s="16">
        <v>-66549</v>
      </c>
      <c r="U18" s="16">
        <v>-179079</v>
      </c>
      <c r="V18" s="17">
        <v>-121655</v>
      </c>
      <c r="W18" s="17">
        <v>-159244</v>
      </c>
      <c r="X18" s="17">
        <v>-158159</v>
      </c>
      <c r="Y18" s="17">
        <f>SUM(TB_Kochi[[#This Row],[Apr]:[Mar]])</f>
        <v>-974874</v>
      </c>
      <c r="Z18" s="89">
        <v>-974874</v>
      </c>
      <c r="AA18" s="17">
        <v>-159492</v>
      </c>
      <c r="AB18" s="17">
        <f>IFERROR(_xlfn.XLOOKUP(TB_Kochi[[#This Row],[Description]],[1]trialbalancePDS.rpt!$K$1:$K$65536,[1]trialbalancePDS.rpt!$J$1:$J$65536,0),0)</f>
        <v>-170021</v>
      </c>
      <c r="AC18" s="17"/>
    </row>
    <row r="19" spans="2:29" x14ac:dyDescent="0.3">
      <c r="B19" s="5" t="s">
        <v>12</v>
      </c>
      <c r="C19" s="5" t="s">
        <v>2</v>
      </c>
      <c r="D19" s="5" t="s">
        <v>197</v>
      </c>
      <c r="E19" s="5" t="s">
        <v>12</v>
      </c>
      <c r="F19" s="5" t="s">
        <v>15</v>
      </c>
      <c r="G19" s="5" t="s">
        <v>15</v>
      </c>
      <c r="H19" s="5" t="s">
        <v>15</v>
      </c>
      <c r="I19" s="5" t="s">
        <v>511</v>
      </c>
      <c r="J19" s="5" t="s">
        <v>12</v>
      </c>
      <c r="K19" s="5" t="s">
        <v>263</v>
      </c>
      <c r="L19" s="5">
        <f>_xlfn.XLOOKUP(TB_Kochi[[#This Row],[MIS_Group1]],PL_Consol!B:B,PL_Consol!C:C)</f>
        <v>7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-23567.950000000012</v>
      </c>
      <c r="V19" s="17">
        <v>-84745.76</v>
      </c>
      <c r="W19" s="17">
        <v>-42373</v>
      </c>
      <c r="X19" s="17">
        <v>23421.79</v>
      </c>
      <c r="Y19" s="17">
        <f>SUM(TB_Kochi[[#This Row],[Apr]:[Mar]])</f>
        <v>-127264.92000000001</v>
      </c>
      <c r="Z19" s="89">
        <v>-127264.92</v>
      </c>
      <c r="AA19" s="17">
        <v>0</v>
      </c>
      <c r="AB19" s="17">
        <f>IFERROR(_xlfn.XLOOKUP(TB_Kochi[[#This Row],[Description]],[1]trialbalancePDS.rpt!$K$1:$K$65536,[1]trialbalancePDS.rpt!$J$1:$J$65536,0),0)</f>
        <v>0</v>
      </c>
      <c r="AC19" s="17"/>
    </row>
    <row r="20" spans="2:29" x14ac:dyDescent="0.3">
      <c r="B20" s="5" t="s">
        <v>19</v>
      </c>
      <c r="C20" s="5" t="s">
        <v>2</v>
      </c>
      <c r="D20" s="5" t="s">
        <v>197</v>
      </c>
      <c r="E20" s="5" t="s">
        <v>12</v>
      </c>
      <c r="F20" s="5" t="s">
        <v>15</v>
      </c>
      <c r="G20" s="5" t="s">
        <v>15</v>
      </c>
      <c r="H20" s="5" t="s">
        <v>15</v>
      </c>
      <c r="I20" s="5" t="s">
        <v>511</v>
      </c>
      <c r="J20" s="5" t="s">
        <v>12</v>
      </c>
      <c r="K20" s="5" t="s">
        <v>263</v>
      </c>
      <c r="L20" s="5">
        <f>_xlfn.XLOOKUP(TB_Kochi[[#This Row],[MIS_Group1]],PL_Consol!B:B,PL_Consol!C:C)</f>
        <v>7</v>
      </c>
      <c r="M20" s="16">
        <v>217.65</v>
      </c>
      <c r="N20" s="16">
        <v>208.58</v>
      </c>
      <c r="O20" s="16">
        <v>-56.64</v>
      </c>
      <c r="P20" s="16">
        <v>-158.41999999999999</v>
      </c>
      <c r="Q20" s="16">
        <v>1023.8599999999999</v>
      </c>
      <c r="R20" s="16">
        <v>128.78999999999994</v>
      </c>
      <c r="S20" s="16">
        <v>-1175.6500000000001</v>
      </c>
      <c r="T20" s="16">
        <v>-577.81999999999994</v>
      </c>
      <c r="U20" s="16">
        <v>-244.78000000000003</v>
      </c>
      <c r="V20" s="17">
        <v>-1127.33</v>
      </c>
      <c r="W20" s="17">
        <v>1551.76</v>
      </c>
      <c r="X20" s="17">
        <v>34.730000000000018</v>
      </c>
      <c r="Y20" s="17">
        <f>SUM(TB_Kochi[[#This Row],[Apr]:[Mar]])</f>
        <v>-175.26999999999998</v>
      </c>
      <c r="Z20" s="89">
        <v>-175.27</v>
      </c>
      <c r="AA20" s="17">
        <v>-91.70999999999998</v>
      </c>
      <c r="AB20" s="17">
        <f>IFERROR(_xlfn.XLOOKUP(TB_Kochi[[#This Row],[Description]],[1]trialbalancePDS.rpt!$K$1:$K$65536,[1]trialbalancePDS.rpt!$J$1:$J$65536,0),0)</f>
        <v>-119.22000000000001</v>
      </c>
      <c r="AC20" s="17"/>
    </row>
    <row r="21" spans="2:29" x14ac:dyDescent="0.3">
      <c r="B21" s="5" t="s">
        <v>70</v>
      </c>
      <c r="C21" s="5" t="s">
        <v>2</v>
      </c>
      <c r="D21" s="5" t="s">
        <v>197</v>
      </c>
      <c r="E21" s="5" t="s">
        <v>12</v>
      </c>
      <c r="F21" s="5" t="s">
        <v>20</v>
      </c>
      <c r="G21" s="5" t="s">
        <v>20</v>
      </c>
      <c r="H21" s="5" t="s">
        <v>20</v>
      </c>
      <c r="I21" s="5" t="s">
        <v>511</v>
      </c>
      <c r="J21" s="5" t="s">
        <v>12</v>
      </c>
      <c r="K21" s="5" t="s">
        <v>264</v>
      </c>
      <c r="L21" s="5">
        <f>_xlfn.XLOOKUP(TB_Kochi[[#This Row],[MIS_Group1]],PL_Consol!B:B,PL_Consol!C:C)</f>
        <v>7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7">
        <v>0</v>
      </c>
      <c r="W21" s="17">
        <v>0</v>
      </c>
      <c r="X21" s="17">
        <v>0</v>
      </c>
      <c r="Y21" s="17">
        <f>SUM(TB_Kochi[[#This Row],[Apr]:[Mar]])</f>
        <v>0</v>
      </c>
      <c r="Z21" s="89">
        <v>0</v>
      </c>
      <c r="AA21" s="17">
        <v>0</v>
      </c>
      <c r="AB21" s="17">
        <f>IFERROR(_xlfn.XLOOKUP(TB_Kochi[[#This Row],[Description]],[1]trialbalancePDS.rpt!$K$1:$K$65536,[1]trialbalancePDS.rpt!$J$1:$J$65536,0),0)</f>
        <v>0</v>
      </c>
      <c r="AC21" s="17"/>
    </row>
    <row r="22" spans="2:29" x14ac:dyDescent="0.3">
      <c r="B22" s="5" t="s">
        <v>71</v>
      </c>
      <c r="C22" s="5" t="s">
        <v>2</v>
      </c>
      <c r="D22" s="5" t="s">
        <v>197</v>
      </c>
      <c r="E22" s="5" t="s">
        <v>12</v>
      </c>
      <c r="F22" s="5" t="s">
        <v>20</v>
      </c>
      <c r="G22" s="5" t="s">
        <v>20</v>
      </c>
      <c r="H22" s="5" t="s">
        <v>20</v>
      </c>
      <c r="I22" s="5" t="s">
        <v>511</v>
      </c>
      <c r="J22" s="5" t="s">
        <v>12</v>
      </c>
      <c r="K22" s="5" t="s">
        <v>264</v>
      </c>
      <c r="L22" s="5">
        <f>_xlfn.XLOOKUP(TB_Kochi[[#This Row],[MIS_Group1]],PL_Consol!B:B,PL_Consol!C:C)</f>
        <v>7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7">
        <v>0</v>
      </c>
      <c r="W22" s="17">
        <v>0</v>
      </c>
      <c r="X22" s="17">
        <v>0</v>
      </c>
      <c r="Y22" s="17">
        <f>SUM(TB_Kochi[[#This Row],[Apr]:[Mar]])</f>
        <v>0</v>
      </c>
      <c r="Z22" s="89">
        <v>0</v>
      </c>
      <c r="AA22" s="17">
        <v>0</v>
      </c>
      <c r="AB22" s="17">
        <f>IFERROR(_xlfn.XLOOKUP(TB_Kochi[[#This Row],[Description]],[1]trialbalancePDS.rpt!$K$1:$K$65536,[1]trialbalancePDS.rpt!$J$1:$J$65536,0),0)</f>
        <v>0</v>
      </c>
      <c r="AC22" s="17"/>
    </row>
    <row r="23" spans="2:29" x14ac:dyDescent="0.3">
      <c r="B23" s="5" t="s">
        <v>72</v>
      </c>
      <c r="C23" s="5" t="s">
        <v>2</v>
      </c>
      <c r="D23" s="5" t="s">
        <v>197</v>
      </c>
      <c r="E23" s="5" t="s">
        <v>12</v>
      </c>
      <c r="F23" s="5" t="s">
        <v>20</v>
      </c>
      <c r="G23" s="5" t="s">
        <v>20</v>
      </c>
      <c r="H23" s="5" t="s">
        <v>20</v>
      </c>
      <c r="I23" s="5" t="s">
        <v>511</v>
      </c>
      <c r="J23" s="5" t="s">
        <v>12</v>
      </c>
      <c r="K23" s="5" t="s">
        <v>264</v>
      </c>
      <c r="L23" s="5">
        <f>_xlfn.XLOOKUP(TB_Kochi[[#This Row],[MIS_Group1]],PL_Consol!B:B,PL_Consol!C:C)</f>
        <v>7</v>
      </c>
      <c r="M23" s="16">
        <v>-169052.44</v>
      </c>
      <c r="N23" s="16">
        <v>-52468</v>
      </c>
      <c r="O23" s="16">
        <v>-419280</v>
      </c>
      <c r="P23" s="16">
        <v>-73456</v>
      </c>
      <c r="Q23" s="16">
        <v>-214964</v>
      </c>
      <c r="R23" s="16">
        <v>-154812</v>
      </c>
      <c r="S23" s="16">
        <v>-121330.31</v>
      </c>
      <c r="T23" s="16">
        <v>-102161.02</v>
      </c>
      <c r="U23" s="16">
        <v>-116309.84</v>
      </c>
      <c r="V23" s="17">
        <v>-126708.34</v>
      </c>
      <c r="W23" s="17">
        <v>-64648.32</v>
      </c>
      <c r="X23" s="17">
        <v>-84710.74</v>
      </c>
      <c r="Y23" s="17">
        <f>SUM(TB_Kochi[[#This Row],[Apr]:[Mar]])</f>
        <v>-1699901.0100000002</v>
      </c>
      <c r="Z23" s="89">
        <v>-1699901.01</v>
      </c>
      <c r="AA23" s="17">
        <v>-53703.360000000001</v>
      </c>
      <c r="AB23" s="17">
        <f>IFERROR(_xlfn.XLOOKUP(TB_Kochi[[#This Row],[Description]],[1]trialbalancePDS.rpt!$K$1:$K$65536,[1]trialbalancePDS.rpt!$J$1:$J$65536,0),0)</f>
        <v>-47357.62</v>
      </c>
      <c r="AC23" s="17"/>
    </row>
    <row r="24" spans="2:29" x14ac:dyDescent="0.3">
      <c r="B24" s="5" t="s">
        <v>73</v>
      </c>
      <c r="C24" s="5" t="s">
        <v>2</v>
      </c>
      <c r="D24" s="5" t="s">
        <v>197</v>
      </c>
      <c r="E24" s="5" t="s">
        <v>12</v>
      </c>
      <c r="F24" s="5" t="s">
        <v>20</v>
      </c>
      <c r="G24" s="5" t="s">
        <v>20</v>
      </c>
      <c r="H24" s="5" t="s">
        <v>20</v>
      </c>
      <c r="I24" s="5" t="s">
        <v>511</v>
      </c>
      <c r="J24" s="5" t="s">
        <v>12</v>
      </c>
      <c r="K24" s="5" t="s">
        <v>264</v>
      </c>
      <c r="L24" s="5">
        <f>_xlfn.XLOOKUP(TB_Kochi[[#This Row],[MIS_Group1]],PL_Consol!B:B,PL_Consol!C:C)</f>
        <v>7</v>
      </c>
      <c r="M24" s="16">
        <v>0</v>
      </c>
      <c r="N24" s="16">
        <v>-10508</v>
      </c>
      <c r="O24" s="16">
        <v>-10508</v>
      </c>
      <c r="P24" s="16">
        <v>-8008</v>
      </c>
      <c r="Q24" s="16">
        <v>-3390</v>
      </c>
      <c r="R24" s="16">
        <v>-8008</v>
      </c>
      <c r="S24" s="16">
        <v>-10508</v>
      </c>
      <c r="T24" s="16">
        <v>-10508</v>
      </c>
      <c r="U24" s="16">
        <v>-10508</v>
      </c>
      <c r="V24" s="17">
        <v>-8008</v>
      </c>
      <c r="W24" s="17">
        <v>-10508</v>
      </c>
      <c r="X24" s="17">
        <v>-16016</v>
      </c>
      <c r="Y24" s="17">
        <f>SUM(TB_Kochi[[#This Row],[Apr]:[Mar]])</f>
        <v>-106478</v>
      </c>
      <c r="Z24" s="89">
        <v>-106478</v>
      </c>
      <c r="AA24" s="17">
        <v>-105932</v>
      </c>
      <c r="AB24" s="17">
        <f>IFERROR(_xlfn.XLOOKUP(TB_Kochi[[#This Row],[Description]],[1]trialbalancePDS.rpt!$K$1:$K$65536,[1]trialbalancePDS.rpt!$J$1:$J$65536,0),0)</f>
        <v>-6738</v>
      </c>
      <c r="AC24" s="17"/>
    </row>
    <row r="25" spans="2:29" x14ac:dyDescent="0.3">
      <c r="B25" s="5" t="s">
        <v>74</v>
      </c>
      <c r="C25" s="5" t="s">
        <v>2</v>
      </c>
      <c r="D25" s="5" t="s">
        <v>197</v>
      </c>
      <c r="E25" s="5" t="s">
        <v>12</v>
      </c>
      <c r="F25" s="5" t="s">
        <v>20</v>
      </c>
      <c r="G25" s="5" t="s">
        <v>20</v>
      </c>
      <c r="H25" s="5" t="s">
        <v>20</v>
      </c>
      <c r="I25" s="5" t="s">
        <v>511</v>
      </c>
      <c r="J25" s="5" t="s">
        <v>12</v>
      </c>
      <c r="K25" s="5" t="s">
        <v>264</v>
      </c>
      <c r="L25" s="5">
        <f>_xlfn.XLOOKUP(TB_Kochi[[#This Row],[MIS_Group1]],PL_Consol!B:B,PL_Consol!C:C)</f>
        <v>7</v>
      </c>
      <c r="M25" s="16">
        <v>-46270</v>
      </c>
      <c r="N25" s="16">
        <v>-51708</v>
      </c>
      <c r="O25" s="16">
        <v>-52582</v>
      </c>
      <c r="P25" s="16">
        <v>-51356</v>
      </c>
      <c r="Q25" s="16">
        <v>-43137</v>
      </c>
      <c r="R25" s="16">
        <v>-49660</v>
      </c>
      <c r="S25" s="16">
        <v>-45339</v>
      </c>
      <c r="T25" s="16">
        <v>-49150</v>
      </c>
      <c r="U25" s="16">
        <v>-53473</v>
      </c>
      <c r="V25" s="17">
        <v>-54788</v>
      </c>
      <c r="W25" s="17">
        <v>-45251</v>
      </c>
      <c r="X25" s="17">
        <v>-43135</v>
      </c>
      <c r="Y25" s="17">
        <f>SUM(TB_Kochi[[#This Row],[Apr]:[Mar]])</f>
        <v>-585849</v>
      </c>
      <c r="Z25" s="89">
        <v>-585849</v>
      </c>
      <c r="AA25" s="17">
        <v>-26525</v>
      </c>
      <c r="AB25" s="17">
        <f>IFERROR(_xlfn.XLOOKUP(TB_Kochi[[#This Row],[Description]],[1]trialbalancePDS.rpt!$K$1:$K$65536,[1]trialbalancePDS.rpt!$J$1:$J$65536,0),0)</f>
        <v>0</v>
      </c>
      <c r="AC25" s="17"/>
    </row>
    <row r="26" spans="2:29" x14ac:dyDescent="0.3">
      <c r="B26" s="5" t="s">
        <v>75</v>
      </c>
      <c r="C26" s="5" t="s">
        <v>2</v>
      </c>
      <c r="D26" s="5" t="s">
        <v>197</v>
      </c>
      <c r="E26" s="5" t="s">
        <v>12</v>
      </c>
      <c r="F26" s="5" t="s">
        <v>21</v>
      </c>
      <c r="G26" s="5" t="s">
        <v>21</v>
      </c>
      <c r="H26" s="5" t="s">
        <v>21</v>
      </c>
      <c r="I26" s="5" t="s">
        <v>511</v>
      </c>
      <c r="J26" s="5" t="s">
        <v>12</v>
      </c>
      <c r="K26" s="5" t="s">
        <v>265</v>
      </c>
      <c r="L26" s="5">
        <f>_xlfn.XLOOKUP(TB_Kochi[[#This Row],[MIS_Group1]],PL_Consol!B:B,PL_Consol!C:C)</f>
        <v>7</v>
      </c>
      <c r="M26" s="16">
        <v>-138460</v>
      </c>
      <c r="N26" s="16">
        <v>-162575</v>
      </c>
      <c r="O26" s="16">
        <v>-162575</v>
      </c>
      <c r="P26" s="16">
        <v>-162575</v>
      </c>
      <c r="Q26" s="16">
        <v>-167575</v>
      </c>
      <c r="R26" s="16">
        <v>-167931</v>
      </c>
      <c r="S26" s="16">
        <v>-167931</v>
      </c>
      <c r="T26" s="16">
        <v>-167931</v>
      </c>
      <c r="U26" s="16">
        <v>-802731</v>
      </c>
      <c r="V26" s="17">
        <v>-220831</v>
      </c>
      <c r="W26" s="17">
        <v>-204862</v>
      </c>
      <c r="X26" s="17">
        <v>-213008</v>
      </c>
      <c r="Y26" s="17">
        <f>SUM(TB_Kochi[[#This Row],[Apr]:[Mar]])</f>
        <v>-2738985</v>
      </c>
      <c r="Z26" s="89">
        <v>-2738985</v>
      </c>
      <c r="AA26" s="17">
        <v>-196716</v>
      </c>
      <c r="AB26" s="17">
        <f>IFERROR(_xlfn.XLOOKUP(TB_Kochi[[#This Row],[Description]],[1]trialbalancePDS.rpt!$K$1:$K$65536,[1]trialbalancePDS.rpt!$J$1:$J$65536,0),0)</f>
        <v>-204862</v>
      </c>
      <c r="AC26" s="17"/>
    </row>
    <row r="27" spans="2:29" x14ac:dyDescent="0.3">
      <c r="B27" s="5" t="s">
        <v>76</v>
      </c>
      <c r="C27" s="5" t="s">
        <v>2</v>
      </c>
      <c r="D27" s="5" t="s">
        <v>197</v>
      </c>
      <c r="E27" s="5" t="s">
        <v>12</v>
      </c>
      <c r="F27" s="5" t="s">
        <v>22</v>
      </c>
      <c r="G27" s="5" t="s">
        <v>22</v>
      </c>
      <c r="H27" s="5" t="s">
        <v>22</v>
      </c>
      <c r="I27" s="5" t="s">
        <v>511</v>
      </c>
      <c r="J27" s="5" t="s">
        <v>12</v>
      </c>
      <c r="K27" s="5" t="s">
        <v>266</v>
      </c>
      <c r="L27" s="5">
        <f>_xlfn.XLOOKUP(TB_Kochi[[#This Row],[MIS_Group1]],PL_Consol!B:B,PL_Consol!C:C)</f>
        <v>7</v>
      </c>
      <c r="M27" s="16">
        <v>-402500</v>
      </c>
      <c r="N27" s="16">
        <v>-150000</v>
      </c>
      <c r="O27" s="16">
        <v>-210000</v>
      </c>
      <c r="P27" s="16">
        <v>0</v>
      </c>
      <c r="Q27" s="16">
        <v>-125000</v>
      </c>
      <c r="R27" s="16">
        <v>-25000</v>
      </c>
      <c r="S27" s="16">
        <v>0</v>
      </c>
      <c r="T27" s="16">
        <v>0</v>
      </c>
      <c r="U27" s="16">
        <v>-110000</v>
      </c>
      <c r="V27" s="17">
        <v>-85000</v>
      </c>
      <c r="W27" s="17">
        <v>-130000</v>
      </c>
      <c r="X27" s="17">
        <v>-405000</v>
      </c>
      <c r="Y27" s="17">
        <f>SUM(TB_Kochi[[#This Row],[Apr]:[Mar]])</f>
        <v>-1642500</v>
      </c>
      <c r="Z27" s="89">
        <v>-1642500</v>
      </c>
      <c r="AA27" s="17">
        <v>-440000</v>
      </c>
      <c r="AB27" s="17">
        <f>IFERROR(_xlfn.XLOOKUP(TB_Kochi[[#This Row],[Description]],[1]trialbalancePDS.rpt!$K$1:$K$65536,[1]trialbalancePDS.rpt!$J$1:$J$65536,0),0)</f>
        <v>-525000</v>
      </c>
      <c r="AC27" s="17"/>
    </row>
    <row r="28" spans="2:29" x14ac:dyDescent="0.3">
      <c r="B28" s="5" t="s">
        <v>77</v>
      </c>
      <c r="C28" s="5" t="s">
        <v>2</v>
      </c>
      <c r="D28" s="5" t="s">
        <v>197</v>
      </c>
      <c r="E28" s="5" t="s">
        <v>12</v>
      </c>
      <c r="F28" s="5" t="s">
        <v>22</v>
      </c>
      <c r="G28" s="5" t="s">
        <v>22</v>
      </c>
      <c r="H28" s="5" t="s">
        <v>22</v>
      </c>
      <c r="I28" s="5" t="s">
        <v>511</v>
      </c>
      <c r="J28" s="5" t="s">
        <v>12</v>
      </c>
      <c r="K28" s="5" t="s">
        <v>266</v>
      </c>
      <c r="L28" s="5">
        <f>_xlfn.XLOOKUP(TB_Kochi[[#This Row],[MIS_Group1]],PL_Consol!B:B,PL_Consol!C:C)</f>
        <v>7</v>
      </c>
      <c r="M28" s="16">
        <v>-1727451</v>
      </c>
      <c r="N28" s="16">
        <v>-1876679</v>
      </c>
      <c r="O28" s="16">
        <v>-438967</v>
      </c>
      <c r="P28" s="16">
        <v>-238118</v>
      </c>
      <c r="Q28" s="16">
        <v>-331338</v>
      </c>
      <c r="R28" s="16">
        <v>-188126</v>
      </c>
      <c r="S28" s="16">
        <v>-2342696</v>
      </c>
      <c r="T28" s="16">
        <v>-1602868</v>
      </c>
      <c r="U28" s="16">
        <v>38575</v>
      </c>
      <c r="V28" s="17">
        <v>-1993373</v>
      </c>
      <c r="W28" s="17">
        <v>-407277</v>
      </c>
      <c r="X28" s="17">
        <v>-167784</v>
      </c>
      <c r="Y28" s="17">
        <f>SUM(TB_Kochi[[#This Row],[Apr]:[Mar]])</f>
        <v>-11276102</v>
      </c>
      <c r="Z28" s="89">
        <v>-11276102</v>
      </c>
      <c r="AA28" s="17">
        <v>-213567</v>
      </c>
      <c r="AB28" s="17">
        <f>IFERROR(_xlfn.XLOOKUP(TB_Kochi[[#This Row],[Description]],[1]trialbalancePDS.rpt!$K$1:$K$65536,[1]trialbalancePDS.rpt!$J$1:$J$65536,0),0)</f>
        <v>-447442</v>
      </c>
      <c r="AC28" s="17"/>
    </row>
    <row r="29" spans="2:29" x14ac:dyDescent="0.3">
      <c r="B29" s="5" t="s">
        <v>24</v>
      </c>
      <c r="C29" s="5" t="s">
        <v>2</v>
      </c>
      <c r="D29" s="5" t="s">
        <v>197</v>
      </c>
      <c r="E29" s="5" t="s">
        <v>12</v>
      </c>
      <c r="F29" s="5" t="s">
        <v>23</v>
      </c>
      <c r="G29" s="5" t="s">
        <v>23</v>
      </c>
      <c r="H29" s="5" t="s">
        <v>23</v>
      </c>
      <c r="I29" s="5" t="s">
        <v>511</v>
      </c>
      <c r="J29" s="5" t="s">
        <v>12</v>
      </c>
      <c r="K29" s="5" t="s">
        <v>267</v>
      </c>
      <c r="L29" s="5">
        <f>_xlfn.XLOOKUP(TB_Kochi[[#This Row],[MIS_Group1]],PL_Consol!B:B,PL_Consol!C:C)</f>
        <v>7</v>
      </c>
      <c r="M29" s="16">
        <v>-12994.4</v>
      </c>
      <c r="N29" s="16">
        <v>-16526.28</v>
      </c>
      <c r="O29" s="16">
        <v>-68506.62</v>
      </c>
      <c r="P29" s="16">
        <v>-142636</v>
      </c>
      <c r="Q29" s="16">
        <v>-149845</v>
      </c>
      <c r="R29" s="16">
        <v>-138715.24</v>
      </c>
      <c r="S29" s="16">
        <v>-114654.88</v>
      </c>
      <c r="T29" s="16">
        <v>-20340</v>
      </c>
      <c r="U29" s="16">
        <v>-13864</v>
      </c>
      <c r="V29" s="17">
        <v>-5932</v>
      </c>
      <c r="W29" s="17">
        <v>0</v>
      </c>
      <c r="X29" s="17">
        <v>-102524</v>
      </c>
      <c r="Y29" s="17">
        <f>SUM(TB_Kochi[[#This Row],[Apr]:[Mar]])</f>
        <v>-786538.42</v>
      </c>
      <c r="Z29" s="89">
        <v>-786538.42</v>
      </c>
      <c r="AA29" s="17">
        <v>-6073.73</v>
      </c>
      <c r="AB29" s="17">
        <f>IFERROR(_xlfn.XLOOKUP(TB_Kochi[[#This Row],[Description]],[1]trialbalancePDS.rpt!$K$1:$K$65536,[1]trialbalancePDS.rpt!$J$1:$J$65536,0),0)</f>
        <v>-2341.5300000000002</v>
      </c>
      <c r="AC29" s="17"/>
    </row>
    <row r="30" spans="2:29" x14ac:dyDescent="0.3">
      <c r="B30" s="5" t="s">
        <v>248</v>
      </c>
      <c r="C30" s="5" t="s">
        <v>2</v>
      </c>
      <c r="D30" s="5" t="s">
        <v>197</v>
      </c>
      <c r="E30" s="5" t="s">
        <v>3</v>
      </c>
      <c r="F30" s="5" t="s">
        <v>9</v>
      </c>
      <c r="G30" s="5" t="s">
        <v>10</v>
      </c>
      <c r="H30" s="5" t="s">
        <v>10</v>
      </c>
      <c r="I30" s="5" t="s">
        <v>511</v>
      </c>
      <c r="J30" s="5" t="s">
        <v>12</v>
      </c>
      <c r="K30" s="5" t="e">
        <v>#N/A</v>
      </c>
      <c r="L30" s="5">
        <f>_xlfn.XLOOKUP(TB_Kochi[[#This Row],[MIS_Group1]],PL_Consol!B:B,PL_Consol!C:C)</f>
        <v>7</v>
      </c>
      <c r="M30" s="17">
        <v>0</v>
      </c>
      <c r="N30" s="16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6">
        <v>0</v>
      </c>
      <c r="V30" s="17">
        <v>-1995</v>
      </c>
      <c r="W30" s="17">
        <v>0</v>
      </c>
      <c r="X30" s="17">
        <v>0</v>
      </c>
      <c r="Y30" s="17">
        <f>SUM(TB_Kochi[[#This Row],[Apr]:[Mar]])</f>
        <v>-1995</v>
      </c>
      <c r="Z30" s="89">
        <v>-1995</v>
      </c>
      <c r="AA30" s="17">
        <v>0</v>
      </c>
      <c r="AB30" s="17">
        <f>IFERROR(_xlfn.XLOOKUP(TB_Kochi[[#This Row],[Description]],[1]trialbalancePDS.rpt!$K$1:$K$65536,[1]trialbalancePDS.rpt!$J$1:$J$65536,0),0)</f>
        <v>0</v>
      </c>
      <c r="AC30" s="17"/>
    </row>
    <row r="31" spans="2:29" x14ac:dyDescent="0.3">
      <c r="B31" s="5" t="s">
        <v>642</v>
      </c>
      <c r="C31" s="5" t="s">
        <v>2</v>
      </c>
      <c r="D31" s="5" t="s">
        <v>197</v>
      </c>
      <c r="E31" s="5" t="s">
        <v>3</v>
      </c>
      <c r="F31" s="5" t="s">
        <v>226</v>
      </c>
      <c r="G31" s="5"/>
      <c r="H31" s="5"/>
      <c r="I31" s="5" t="s">
        <v>511</v>
      </c>
      <c r="J31" s="5" t="s">
        <v>202</v>
      </c>
      <c r="K31" s="5" t="s">
        <v>202</v>
      </c>
      <c r="L31" s="5">
        <f>_xlfn.XLOOKUP(TB_Kochi[[#This Row],[MIS_Group1]],PL_Consol!B:B,PL_Consol!C:C)</f>
        <v>3</v>
      </c>
      <c r="M31" s="17"/>
      <c r="N31" s="16"/>
      <c r="O31" s="17"/>
      <c r="P31" s="17"/>
      <c r="Q31" s="17"/>
      <c r="R31" s="17"/>
      <c r="S31" s="17"/>
      <c r="T31" s="17"/>
      <c r="U31" s="16"/>
      <c r="V31" s="17"/>
      <c r="W31" s="17"/>
      <c r="X31" s="17"/>
      <c r="Y31" s="17">
        <f>SUM(TB_Kochi[[#This Row],[Apr]:[Mar]])</f>
        <v>0</v>
      </c>
      <c r="Z31" s="89"/>
      <c r="AA31" s="17">
        <v>-75500</v>
      </c>
      <c r="AB31" s="17">
        <f>IFERROR(_xlfn.XLOOKUP(TB_Kochi[[#This Row],[Description]],[1]trialbalancePDS.rpt!$K$1:$K$65536,[1]trialbalancePDS.rpt!$J$1:$J$65536,0),0)</f>
        <v>0</v>
      </c>
      <c r="AC31" s="17"/>
    </row>
    <row r="32" spans="2:29" x14ac:dyDescent="0.3">
      <c r="B32" s="5" t="s">
        <v>78</v>
      </c>
      <c r="C32" s="5" t="s">
        <v>2</v>
      </c>
      <c r="D32" s="5" t="s">
        <v>198</v>
      </c>
      <c r="E32" s="5" t="s">
        <v>25</v>
      </c>
      <c r="F32" s="5" t="s">
        <v>26</v>
      </c>
      <c r="G32" s="5" t="s">
        <v>78</v>
      </c>
      <c r="H32" s="5" t="s">
        <v>78</v>
      </c>
      <c r="I32" s="5" t="s">
        <v>511</v>
      </c>
      <c r="J32" s="5" t="s">
        <v>268</v>
      </c>
      <c r="K32" s="5" t="s">
        <v>269</v>
      </c>
      <c r="L32" s="5">
        <f>_xlfn.XLOOKUP(TB_Kochi[[#This Row],[MIS_Group1]],PL_Consol!B:B,PL_Consol!C:C)</f>
        <v>8</v>
      </c>
      <c r="M32" s="16">
        <v>35096286.229999997</v>
      </c>
      <c r="N32" s="16">
        <v>40538837.890000001</v>
      </c>
      <c r="O32" s="16">
        <v>34893361.600000001</v>
      </c>
      <c r="P32" s="16">
        <v>43948073.93</v>
      </c>
      <c r="Q32" s="16">
        <v>42706236.130000003</v>
      </c>
      <c r="R32" s="16">
        <v>37503639.539999999</v>
      </c>
      <c r="S32" s="16">
        <v>38205844.960000001</v>
      </c>
      <c r="T32" s="16">
        <v>32988449.979999997</v>
      </c>
      <c r="U32" s="16">
        <v>40363369.670000002</v>
      </c>
      <c r="V32" s="17">
        <v>48049213</v>
      </c>
      <c r="W32" s="17">
        <v>37747434.810000002</v>
      </c>
      <c r="X32" s="17">
        <v>32931281.969999999</v>
      </c>
      <c r="Y32" s="17">
        <f>SUM(TB_Kochi[[#This Row],[Apr]:[Mar]])</f>
        <v>464972029.71000004</v>
      </c>
      <c r="Z32" s="89">
        <v>464972029.70999998</v>
      </c>
      <c r="AA32" s="17">
        <v>39201341.439999998</v>
      </c>
      <c r="AB32" s="17">
        <f>IFERROR(_xlfn.XLOOKUP(TB_Kochi[[#This Row],[Description]],[1]trialbalancePDS.rpt!$K$1:$K$65536,[1]trialbalancePDS.rpt!$J$1:$J$65536,0),0)</f>
        <v>45047582.149999999</v>
      </c>
      <c r="AC32" s="17"/>
    </row>
    <row r="33" spans="2:29" x14ac:dyDescent="0.3">
      <c r="B33" s="5" t="s">
        <v>79</v>
      </c>
      <c r="C33" s="5" t="s">
        <v>2</v>
      </c>
      <c r="D33" s="5" t="s">
        <v>198</v>
      </c>
      <c r="E33" s="5" t="s">
        <v>25</v>
      </c>
      <c r="F33" s="5" t="s">
        <v>26</v>
      </c>
      <c r="G33" s="5" t="s">
        <v>231</v>
      </c>
      <c r="H33" s="5" t="s">
        <v>231</v>
      </c>
      <c r="I33" s="5" t="s">
        <v>511</v>
      </c>
      <c r="J33" s="5" t="s">
        <v>268</v>
      </c>
      <c r="K33" s="5" t="s">
        <v>269</v>
      </c>
      <c r="L33" s="5">
        <f>_xlfn.XLOOKUP(TB_Kochi[[#This Row],[MIS_Group1]],PL_Consol!B:B,PL_Consol!C:C)</f>
        <v>8</v>
      </c>
      <c r="M33" s="16">
        <v>43420758.530000001</v>
      </c>
      <c r="N33" s="16">
        <v>50091987.509999998</v>
      </c>
      <c r="O33" s="16">
        <v>49583906.799999997</v>
      </c>
      <c r="P33" s="16">
        <v>49966646</v>
      </c>
      <c r="Q33" s="16">
        <v>46703851.609999999</v>
      </c>
      <c r="R33" s="16">
        <v>47434772.600000001</v>
      </c>
      <c r="S33" s="16">
        <v>51392334.990000002</v>
      </c>
      <c r="T33" s="16">
        <v>41401445.189999998</v>
      </c>
      <c r="U33" s="16">
        <v>47735672.850000001</v>
      </c>
      <c r="V33" s="17">
        <v>51726100.289999999</v>
      </c>
      <c r="W33" s="17">
        <v>48378532.109999999</v>
      </c>
      <c r="X33" s="17">
        <v>43909876.659999996</v>
      </c>
      <c r="Y33" s="17">
        <f>SUM(TB_Kochi[[#This Row],[Apr]:[Mar]])</f>
        <v>571745885.1400001</v>
      </c>
      <c r="Z33" s="89">
        <v>571745885.13999999</v>
      </c>
      <c r="AA33" s="17">
        <v>49266437.5</v>
      </c>
      <c r="AB33" s="17">
        <f>IFERROR(_xlfn.XLOOKUP(TB_Kochi[[#This Row],[Description]],[1]trialbalancePDS.rpt!$K$1:$K$65536,[1]trialbalancePDS.rpt!$J$1:$J$65536,0),0)</f>
        <v>51021203.560000002</v>
      </c>
      <c r="AC33" s="17"/>
    </row>
    <row r="34" spans="2:29" x14ac:dyDescent="0.3">
      <c r="B34" s="5" t="s">
        <v>80</v>
      </c>
      <c r="C34" s="5" t="s">
        <v>2</v>
      </c>
      <c r="D34" s="5" t="s">
        <v>198</v>
      </c>
      <c r="E34" s="5" t="s">
        <v>25</v>
      </c>
      <c r="F34" s="5" t="s">
        <v>26</v>
      </c>
      <c r="G34" s="5" t="s">
        <v>231</v>
      </c>
      <c r="H34" s="5" t="s">
        <v>231</v>
      </c>
      <c r="I34" s="5" t="s">
        <v>511</v>
      </c>
      <c r="J34" s="5" t="s">
        <v>268</v>
      </c>
      <c r="K34" s="5" t="s">
        <v>269</v>
      </c>
      <c r="L34" s="5">
        <f>_xlfn.XLOOKUP(TB_Kochi[[#This Row],[MIS_Group1]],PL_Consol!B:B,PL_Consol!C:C)</f>
        <v>8</v>
      </c>
      <c r="M34" s="16">
        <v>102619</v>
      </c>
      <c r="N34" s="16">
        <v>281920.06</v>
      </c>
      <c r="O34" s="16">
        <v>918313.33</v>
      </c>
      <c r="P34" s="16">
        <v>561680.96</v>
      </c>
      <c r="Q34" s="16">
        <v>991919.38</v>
      </c>
      <c r="R34" s="16">
        <v>860609.22</v>
      </c>
      <c r="S34" s="16">
        <v>569318.52</v>
      </c>
      <c r="T34" s="16">
        <v>1115188.76</v>
      </c>
      <c r="U34" s="16">
        <v>268422.12</v>
      </c>
      <c r="V34" s="17">
        <v>205744.6</v>
      </c>
      <c r="W34" s="17">
        <v>984000.69</v>
      </c>
      <c r="X34" s="17">
        <v>250232</v>
      </c>
      <c r="Y34" s="17">
        <f>SUM(TB_Kochi[[#This Row],[Apr]:[Mar]])</f>
        <v>7109968.6400000006</v>
      </c>
      <c r="Z34" s="89">
        <v>7109968.6399999997</v>
      </c>
      <c r="AA34" s="17">
        <v>736422.67</v>
      </c>
      <c r="AB34" s="17">
        <f>IFERROR(_xlfn.XLOOKUP(TB_Kochi[[#This Row],[Description]],[1]trialbalancePDS.rpt!$K$1:$K$65536,[1]trialbalancePDS.rpt!$J$1:$J$65536,0),0)</f>
        <v>880539.56</v>
      </c>
      <c r="AC34" s="17"/>
    </row>
    <row r="35" spans="2:29" x14ac:dyDescent="0.3">
      <c r="B35" s="5" t="s">
        <v>81</v>
      </c>
      <c r="C35" s="5" t="s">
        <v>2</v>
      </c>
      <c r="D35" s="5" t="s">
        <v>198</v>
      </c>
      <c r="E35" s="5" t="s">
        <v>25</v>
      </c>
      <c r="F35" s="5" t="s">
        <v>26</v>
      </c>
      <c r="G35" s="5" t="s">
        <v>231</v>
      </c>
      <c r="H35" s="5" t="s">
        <v>231</v>
      </c>
      <c r="I35" s="5" t="s">
        <v>511</v>
      </c>
      <c r="J35" s="5" t="s">
        <v>268</v>
      </c>
      <c r="K35" s="5" t="s">
        <v>269</v>
      </c>
      <c r="L35" s="5">
        <f>_xlfn.XLOOKUP(TB_Kochi[[#This Row],[MIS_Group1]],PL_Consol!B:B,PL_Consol!C:C)</f>
        <v>8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7">
        <v>0</v>
      </c>
      <c r="W35" s="17">
        <v>0</v>
      </c>
      <c r="X35" s="17">
        <v>0</v>
      </c>
      <c r="Y35" s="17">
        <f>SUM(TB_Kochi[[#This Row],[Apr]:[Mar]])</f>
        <v>0</v>
      </c>
      <c r="Z35" s="89">
        <v>0</v>
      </c>
      <c r="AA35" s="17">
        <v>0</v>
      </c>
      <c r="AB35" s="17">
        <f>IFERROR(_xlfn.XLOOKUP(TB_Kochi[[#This Row],[Description]],[1]trialbalancePDS.rpt!$K$1:$K$65536,[1]trialbalancePDS.rpt!$J$1:$J$65536,0),0)</f>
        <v>0</v>
      </c>
      <c r="AC35" s="17"/>
    </row>
    <row r="36" spans="2:29" x14ac:dyDescent="0.3">
      <c r="B36" s="5" t="s">
        <v>82</v>
      </c>
      <c r="C36" s="5" t="s">
        <v>2</v>
      </c>
      <c r="D36" s="5" t="s">
        <v>198</v>
      </c>
      <c r="E36" s="5" t="s">
        <v>25</v>
      </c>
      <c r="F36" s="5" t="s">
        <v>26</v>
      </c>
      <c r="G36" s="5" t="s">
        <v>231</v>
      </c>
      <c r="H36" s="5" t="s">
        <v>231</v>
      </c>
      <c r="I36" s="5" t="s">
        <v>511</v>
      </c>
      <c r="J36" s="5" t="s">
        <v>268</v>
      </c>
      <c r="K36" s="5" t="s">
        <v>269</v>
      </c>
      <c r="L36" s="5">
        <f>_xlfn.XLOOKUP(TB_Kochi[[#This Row],[MIS_Group1]],PL_Consol!B:B,PL_Consol!C:C)</f>
        <v>8</v>
      </c>
      <c r="M36" s="16">
        <v>388815.35</v>
      </c>
      <c r="N36" s="16">
        <v>795069</v>
      </c>
      <c r="O36" s="16">
        <v>809543</v>
      </c>
      <c r="P36" s="16">
        <v>628715</v>
      </c>
      <c r="Q36" s="16">
        <v>491993</v>
      </c>
      <c r="R36" s="16">
        <v>674355</v>
      </c>
      <c r="S36" s="16">
        <v>734859.5</v>
      </c>
      <c r="T36" s="16">
        <v>453824.18</v>
      </c>
      <c r="U36" s="16">
        <v>480217.78</v>
      </c>
      <c r="V36" s="17">
        <v>732203.76</v>
      </c>
      <c r="W36" s="17">
        <v>628597</v>
      </c>
      <c r="X36" s="17">
        <v>555206</v>
      </c>
      <c r="Y36" s="17">
        <f>SUM(TB_Kochi[[#This Row],[Apr]:[Mar]])</f>
        <v>7373398.5699999994</v>
      </c>
      <c r="Z36" s="89">
        <v>7373398.5700000003</v>
      </c>
      <c r="AA36" s="17">
        <v>583367.14</v>
      </c>
      <c r="AB36" s="17">
        <f>IFERROR(_xlfn.XLOOKUP(TB_Kochi[[#This Row],[Description]],[1]trialbalancePDS.rpt!$K$1:$K$65536,[1]trialbalancePDS.rpt!$J$1:$J$65536,0),0)</f>
        <v>601632.36</v>
      </c>
      <c r="AC36" s="17"/>
    </row>
    <row r="37" spans="2:29" x14ac:dyDescent="0.3">
      <c r="B37" s="5" t="s">
        <v>83</v>
      </c>
      <c r="C37" s="5" t="s">
        <v>2</v>
      </c>
      <c r="D37" s="5" t="s">
        <v>198</v>
      </c>
      <c r="E37" s="5" t="s">
        <v>25</v>
      </c>
      <c r="F37" s="5" t="s">
        <v>26</v>
      </c>
      <c r="G37" s="5" t="s">
        <v>231</v>
      </c>
      <c r="H37" s="5" t="s">
        <v>231</v>
      </c>
      <c r="I37" s="5" t="s">
        <v>511</v>
      </c>
      <c r="J37" s="5" t="s">
        <v>268</v>
      </c>
      <c r="K37" s="5" t="s">
        <v>269</v>
      </c>
      <c r="L37" s="5">
        <f>_xlfn.XLOOKUP(TB_Kochi[[#This Row],[MIS_Group1]],PL_Consol!B:B,PL_Consol!C:C)</f>
        <v>8</v>
      </c>
      <c r="M37" s="16">
        <v>203682.83</v>
      </c>
      <c r="N37" s="16">
        <v>85190.21</v>
      </c>
      <c r="O37" s="16">
        <v>255734.18</v>
      </c>
      <c r="P37" s="16">
        <v>0</v>
      </c>
      <c r="Q37" s="16">
        <v>170378.97</v>
      </c>
      <c r="R37" s="16">
        <v>836230.63</v>
      </c>
      <c r="S37" s="16">
        <v>528837.03</v>
      </c>
      <c r="T37" s="16">
        <v>630457.59999999998</v>
      </c>
      <c r="U37" s="16">
        <v>731896.99</v>
      </c>
      <c r="V37" s="17">
        <v>775614.85</v>
      </c>
      <c r="W37" s="17">
        <v>0</v>
      </c>
      <c r="X37" s="17">
        <v>0</v>
      </c>
      <c r="Y37" s="17">
        <f>SUM(TB_Kochi[[#This Row],[Apr]:[Mar]])</f>
        <v>4218023.2899999991</v>
      </c>
      <c r="Z37" s="89">
        <v>4218023.29</v>
      </c>
      <c r="AA37" s="17">
        <v>0</v>
      </c>
      <c r="AB37" s="17">
        <f>IFERROR(_xlfn.XLOOKUP(TB_Kochi[[#This Row],[Description]],[1]trialbalancePDS.rpt!$K$1:$K$65536,[1]trialbalancePDS.rpt!$J$1:$J$65536,0),0)</f>
        <v>6485.72</v>
      </c>
      <c r="AC37" s="17"/>
    </row>
    <row r="38" spans="2:29" x14ac:dyDescent="0.3">
      <c r="B38" s="5" t="s">
        <v>84</v>
      </c>
      <c r="C38" s="5" t="s">
        <v>2</v>
      </c>
      <c r="D38" s="5" t="s">
        <v>198</v>
      </c>
      <c r="E38" s="5" t="s">
        <v>25</v>
      </c>
      <c r="F38" s="5" t="s">
        <v>26</v>
      </c>
      <c r="G38" s="5" t="s">
        <v>84</v>
      </c>
      <c r="H38" s="5" t="s">
        <v>84</v>
      </c>
      <c r="I38" s="5" t="s">
        <v>511</v>
      </c>
      <c r="J38" s="5" t="s">
        <v>268</v>
      </c>
      <c r="K38" s="5" t="s">
        <v>269</v>
      </c>
      <c r="L38" s="5">
        <f>_xlfn.XLOOKUP(TB_Kochi[[#This Row],[MIS_Group1]],PL_Consol!B:B,PL_Consol!C:C)</f>
        <v>8</v>
      </c>
      <c r="M38" s="16">
        <v>13799960.130000001</v>
      </c>
      <c r="N38" s="16">
        <v>19849247.07</v>
      </c>
      <c r="O38" s="16">
        <v>15234757.23</v>
      </c>
      <c r="P38" s="16">
        <v>19574667.579999998</v>
      </c>
      <c r="Q38" s="16">
        <v>19918387.460000001</v>
      </c>
      <c r="R38" s="16">
        <v>15409503.33</v>
      </c>
      <c r="S38" s="16">
        <v>17703312.050000001</v>
      </c>
      <c r="T38" s="16">
        <v>14645802.449999999</v>
      </c>
      <c r="U38" s="16">
        <v>13804869.640000001</v>
      </c>
      <c r="V38" s="17">
        <v>14931234.27</v>
      </c>
      <c r="W38" s="17">
        <v>13926597.720000001</v>
      </c>
      <c r="X38" s="17">
        <v>18002063.800000001</v>
      </c>
      <c r="Y38" s="17">
        <f>SUM(TB_Kochi[[#This Row],[Apr]:[Mar]])</f>
        <v>196800402.73000002</v>
      </c>
      <c r="Z38" s="89">
        <v>196800402.72999999</v>
      </c>
      <c r="AA38" s="17">
        <v>21055012.800000001</v>
      </c>
      <c r="AB38" s="17">
        <f>IFERROR(_xlfn.XLOOKUP(TB_Kochi[[#This Row],[Description]],[1]trialbalancePDS.rpt!$K$1:$K$65536,[1]trialbalancePDS.rpt!$J$1:$J$65536,0),0)</f>
        <v>23629666.68</v>
      </c>
      <c r="AC38" s="17"/>
    </row>
    <row r="39" spans="2:29" x14ac:dyDescent="0.3">
      <c r="B39" s="5" t="s">
        <v>85</v>
      </c>
      <c r="C39" s="5" t="s">
        <v>2</v>
      </c>
      <c r="D39" s="5" t="s">
        <v>198</v>
      </c>
      <c r="E39" s="5" t="s">
        <v>25</v>
      </c>
      <c r="F39" s="5" t="s">
        <v>26</v>
      </c>
      <c r="G39" s="5" t="s">
        <v>61</v>
      </c>
      <c r="H39" s="5" t="s">
        <v>61</v>
      </c>
      <c r="I39" s="5" t="s">
        <v>511</v>
      </c>
      <c r="J39" s="5" t="s">
        <v>270</v>
      </c>
      <c r="K39" s="5" t="e">
        <v>#N/A</v>
      </c>
      <c r="L39" s="5">
        <f>_xlfn.XLOOKUP(TB_Kochi[[#This Row],[MIS_Group1]],PL_Consol!B:B,PL_Consol!C:C)</f>
        <v>26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7503</v>
      </c>
      <c r="T39" s="16">
        <v>0</v>
      </c>
      <c r="U39" s="16">
        <v>52044</v>
      </c>
      <c r="V39" s="17">
        <v>23010</v>
      </c>
      <c r="W39" s="17">
        <v>2700</v>
      </c>
      <c r="X39" s="17">
        <v>14941.85</v>
      </c>
      <c r="Y39" s="17">
        <f>SUM(TB_Kochi[[#This Row],[Apr]:[Mar]])</f>
        <v>100198.85</v>
      </c>
      <c r="Z39" s="89">
        <v>100198.85</v>
      </c>
      <c r="AA39" s="17">
        <v>21000</v>
      </c>
      <c r="AB39" s="17">
        <f>IFERROR(_xlfn.XLOOKUP(TB_Kochi[[#This Row],[Description]],[1]trialbalancePDS.rpt!$K$1:$K$65536,[1]trialbalancePDS.rpt!$J$1:$J$65536,0),0)</f>
        <v>101355.94</v>
      </c>
      <c r="AC39" s="17"/>
    </row>
    <row r="40" spans="2:29" x14ac:dyDescent="0.3">
      <c r="B40" s="5" t="s">
        <v>86</v>
      </c>
      <c r="C40" s="5" t="s">
        <v>2</v>
      </c>
      <c r="D40" s="5" t="s">
        <v>198</v>
      </c>
      <c r="E40" s="5" t="s">
        <v>25</v>
      </c>
      <c r="F40" s="5" t="s">
        <v>62</v>
      </c>
      <c r="G40" s="5" t="s">
        <v>62</v>
      </c>
      <c r="H40" s="5" t="s">
        <v>62</v>
      </c>
      <c r="I40" s="5" t="s">
        <v>511</v>
      </c>
      <c r="J40" s="5" t="s">
        <v>270</v>
      </c>
      <c r="K40" s="5" t="s">
        <v>271</v>
      </c>
      <c r="L40" s="5">
        <f>_xlfn.XLOOKUP(TB_Kochi[[#This Row],[MIS_Group1]],PL_Consol!B:B,PL_Consol!C:C)</f>
        <v>26</v>
      </c>
      <c r="M40" s="16">
        <v>0</v>
      </c>
      <c r="N40" s="16">
        <v>0</v>
      </c>
      <c r="O40" s="16">
        <v>0</v>
      </c>
      <c r="P40" s="16">
        <v>0</v>
      </c>
      <c r="Q40" s="16">
        <v>412965</v>
      </c>
      <c r="R40" s="16">
        <v>155832</v>
      </c>
      <c r="S40" s="16">
        <v>181437</v>
      </c>
      <c r="T40" s="16">
        <v>95010</v>
      </c>
      <c r="U40" s="16">
        <v>98000</v>
      </c>
      <c r="V40" s="17">
        <v>114750</v>
      </c>
      <c r="W40" s="17">
        <v>67090</v>
      </c>
      <c r="X40" s="17">
        <v>84800</v>
      </c>
      <c r="Y40" s="17">
        <f>SUM(TB_Kochi[[#This Row],[Apr]:[Mar]])</f>
        <v>1209884</v>
      </c>
      <c r="Z40" s="89">
        <v>1209884</v>
      </c>
      <c r="AA40" s="17">
        <v>0</v>
      </c>
      <c r="AB40" s="17">
        <f>IFERROR(_xlfn.XLOOKUP(TB_Kochi[[#This Row],[Description]],[1]trialbalancePDS.rpt!$K$1:$K$65536,[1]trialbalancePDS.rpt!$J$1:$J$65536,0),0)</f>
        <v>73750</v>
      </c>
      <c r="AC40" s="17"/>
    </row>
    <row r="41" spans="2:29" x14ac:dyDescent="0.3">
      <c r="B41" s="5" t="s">
        <v>87</v>
      </c>
      <c r="C41" s="5" t="s">
        <v>2</v>
      </c>
      <c r="D41" s="5" t="s">
        <v>198</v>
      </c>
      <c r="E41" s="5" t="s">
        <v>25</v>
      </c>
      <c r="F41" s="5" t="s">
        <v>62</v>
      </c>
      <c r="G41" s="5" t="s">
        <v>62</v>
      </c>
      <c r="H41" s="5" t="s">
        <v>62</v>
      </c>
      <c r="I41" s="5" t="s">
        <v>511</v>
      </c>
      <c r="J41" s="5" t="s">
        <v>203</v>
      </c>
      <c r="K41" s="5" t="s">
        <v>203</v>
      </c>
      <c r="L41" s="5">
        <f>_xlfn.XLOOKUP(TB_Kochi[[#This Row],[MIS_Group1]],PL_Consol!B:B,PL_Consol!C:C)</f>
        <v>1</v>
      </c>
      <c r="M41" s="16">
        <v>553935</v>
      </c>
      <c r="N41" s="16">
        <v>571408</v>
      </c>
      <c r="O41" s="16">
        <v>351010</v>
      </c>
      <c r="P41" s="16">
        <v>485804.52</v>
      </c>
      <c r="Q41" s="16">
        <v>485055</v>
      </c>
      <c r="R41" s="16">
        <v>459440.5</v>
      </c>
      <c r="S41" s="16">
        <v>583013.5</v>
      </c>
      <c r="T41" s="16">
        <v>511135.5</v>
      </c>
      <c r="U41" s="16">
        <v>406493</v>
      </c>
      <c r="V41" s="17">
        <v>597507.12</v>
      </c>
      <c r="W41" s="17">
        <v>449493</v>
      </c>
      <c r="X41" s="17">
        <v>592257.69999999995</v>
      </c>
      <c r="Y41" s="17">
        <f>SUM(TB_Kochi[[#This Row],[Apr]:[Mar]])</f>
        <v>6046552.8399999999</v>
      </c>
      <c r="Z41" s="89">
        <v>6046552.8399999999</v>
      </c>
      <c r="AA41" s="17">
        <v>573906</v>
      </c>
      <c r="AB41" s="17">
        <f>IFERROR(_xlfn.XLOOKUP(TB_Kochi[[#This Row],[Description]],[1]trialbalancePDS.rpt!$K$1:$K$65536,[1]trialbalancePDS.rpt!$J$1:$J$65536,0),0)</f>
        <v>776623.5</v>
      </c>
      <c r="AC41" s="17"/>
    </row>
    <row r="42" spans="2:29" x14ac:dyDescent="0.3">
      <c r="B42" s="5" t="s">
        <v>88</v>
      </c>
      <c r="C42" s="5" t="s">
        <v>2</v>
      </c>
      <c r="D42" s="5" t="s">
        <v>198</v>
      </c>
      <c r="E42" s="5" t="s">
        <v>25</v>
      </c>
      <c r="F42" s="5" t="s">
        <v>62</v>
      </c>
      <c r="G42" s="5" t="s">
        <v>62</v>
      </c>
      <c r="H42" s="5" t="s">
        <v>62</v>
      </c>
      <c r="I42" s="5" t="s">
        <v>511</v>
      </c>
      <c r="J42" s="5" t="s">
        <v>202</v>
      </c>
      <c r="K42" s="5" t="s">
        <v>202</v>
      </c>
      <c r="L42" s="5">
        <f>_xlfn.XLOOKUP(TB_Kochi[[#This Row],[MIS_Group1]],PL_Consol!B:B,PL_Consol!C:C)</f>
        <v>3</v>
      </c>
      <c r="M42" s="16">
        <v>899318.5</v>
      </c>
      <c r="N42" s="16">
        <v>970950.5</v>
      </c>
      <c r="O42" s="16">
        <v>1198133</v>
      </c>
      <c r="P42" s="16">
        <v>1398712.5</v>
      </c>
      <c r="Q42" s="16">
        <v>1322118.5</v>
      </c>
      <c r="R42" s="16">
        <v>1143906</v>
      </c>
      <c r="S42" s="16">
        <v>1121412.5</v>
      </c>
      <c r="T42" s="16">
        <v>959393.76</v>
      </c>
      <c r="U42" s="16">
        <v>1122789.5</v>
      </c>
      <c r="V42" s="17">
        <v>1146951.52</v>
      </c>
      <c r="W42" s="17">
        <v>1053779</v>
      </c>
      <c r="X42" s="17">
        <v>1042100</v>
      </c>
      <c r="Y42" s="17">
        <f>SUM(TB_Kochi[[#This Row],[Apr]:[Mar]])</f>
        <v>13379565.279999999</v>
      </c>
      <c r="Z42" s="89">
        <v>13379565.279999999</v>
      </c>
      <c r="AA42" s="17">
        <v>954311.5</v>
      </c>
      <c r="AB42" s="17">
        <f>IFERROR(_xlfn.XLOOKUP(TB_Kochi[[#This Row],[Description]],[1]trialbalancePDS.rpt!$K$1:$K$65536,[1]trialbalancePDS.rpt!$J$1:$J$65536,0),0)</f>
        <v>1112356</v>
      </c>
      <c r="AC42" s="17"/>
    </row>
    <row r="43" spans="2:29" x14ac:dyDescent="0.3">
      <c r="B43" s="5" t="s">
        <v>89</v>
      </c>
      <c r="C43" s="5" t="s">
        <v>2</v>
      </c>
      <c r="D43" s="5" t="s">
        <v>198</v>
      </c>
      <c r="E43" s="5" t="s">
        <v>25</v>
      </c>
      <c r="F43" s="5" t="s">
        <v>62</v>
      </c>
      <c r="G43" s="5" t="s">
        <v>62</v>
      </c>
      <c r="H43" s="5" t="s">
        <v>62</v>
      </c>
      <c r="I43" s="5" t="s">
        <v>511</v>
      </c>
      <c r="J43" s="5" t="s">
        <v>203</v>
      </c>
      <c r="K43" s="5" t="s">
        <v>203</v>
      </c>
      <c r="L43" s="5">
        <f>_xlfn.XLOOKUP(TB_Kochi[[#This Row],[MIS_Group1]],PL_Consol!B:B,PL_Consol!C:C)</f>
        <v>1</v>
      </c>
      <c r="M43" s="16">
        <v>888662.62</v>
      </c>
      <c r="N43" s="16">
        <v>1399947.81</v>
      </c>
      <c r="O43" s="16">
        <v>901467.1</v>
      </c>
      <c r="P43" s="16">
        <v>1349602.58</v>
      </c>
      <c r="Q43" s="16">
        <v>1465725.22</v>
      </c>
      <c r="R43" s="16">
        <v>1599401.67</v>
      </c>
      <c r="S43" s="16">
        <v>1801153.43</v>
      </c>
      <c r="T43" s="16">
        <v>1436037.53</v>
      </c>
      <c r="U43" s="16">
        <v>1018452.07</v>
      </c>
      <c r="V43" s="17">
        <v>1726139.96</v>
      </c>
      <c r="W43" s="17">
        <v>1206090.42</v>
      </c>
      <c r="X43" s="17">
        <v>1255806.0900000001</v>
      </c>
      <c r="Y43" s="17">
        <f>SUM(TB_Kochi[[#This Row],[Apr]:[Mar]])</f>
        <v>16048486.499999998</v>
      </c>
      <c r="Z43" s="89">
        <v>16048486.5</v>
      </c>
      <c r="AA43" s="17">
        <v>1472221.13</v>
      </c>
      <c r="AB43" s="17">
        <f>IFERROR(_xlfn.XLOOKUP(TB_Kochi[[#This Row],[Description]],[1]trialbalancePDS.rpt!$K$1:$K$65536,[1]trialbalancePDS.rpt!$J$1:$J$65536,0),0)</f>
        <v>1801896.31</v>
      </c>
      <c r="AC43" s="17"/>
    </row>
    <row r="44" spans="2:29" x14ac:dyDescent="0.3">
      <c r="B44" s="5" t="s">
        <v>90</v>
      </c>
      <c r="C44" s="5" t="s">
        <v>2</v>
      </c>
      <c r="D44" s="5" t="s">
        <v>198</v>
      </c>
      <c r="E44" s="5" t="s">
        <v>25</v>
      </c>
      <c r="F44" s="5" t="s">
        <v>62</v>
      </c>
      <c r="G44" s="5" t="s">
        <v>62</v>
      </c>
      <c r="H44" s="5" t="s">
        <v>62</v>
      </c>
      <c r="I44" s="5" t="s">
        <v>511</v>
      </c>
      <c r="J44" s="5" t="s">
        <v>203</v>
      </c>
      <c r="K44" s="5" t="s">
        <v>203</v>
      </c>
      <c r="L44" s="5">
        <f>_xlfn.XLOOKUP(TB_Kochi[[#This Row],[MIS_Group1]],PL_Consol!B:B,PL_Consol!C:C)</f>
        <v>1</v>
      </c>
      <c r="M44" s="16">
        <v>15745.49</v>
      </c>
      <c r="N44" s="16">
        <v>18150.59</v>
      </c>
      <c r="O44" s="16">
        <v>13121</v>
      </c>
      <c r="P44" s="16">
        <v>19958</v>
      </c>
      <c r="Q44" s="16">
        <v>17965.5</v>
      </c>
      <c r="R44" s="16">
        <v>21242.77</v>
      </c>
      <c r="S44" s="16">
        <v>25818.5</v>
      </c>
      <c r="T44" s="16">
        <v>20721</v>
      </c>
      <c r="U44" s="16">
        <v>17842.759999999998</v>
      </c>
      <c r="V44" s="17">
        <v>11851.25</v>
      </c>
      <c r="W44" s="17">
        <v>11924.52</v>
      </c>
      <c r="X44" s="17">
        <v>18438</v>
      </c>
      <c r="Y44" s="17">
        <f>SUM(TB_Kochi[[#This Row],[Apr]:[Mar]])</f>
        <v>212779.38</v>
      </c>
      <c r="Z44" s="89">
        <v>212779.38</v>
      </c>
      <c r="AA44" s="17">
        <v>16707</v>
      </c>
      <c r="AB44" s="17">
        <f>IFERROR(_xlfn.XLOOKUP(TB_Kochi[[#This Row],[Description]],[1]trialbalancePDS.rpt!$K$1:$K$65536,[1]trialbalancePDS.rpt!$J$1:$J$65536,0),0)</f>
        <v>10613.09</v>
      </c>
      <c r="AC44" s="17"/>
    </row>
    <row r="45" spans="2:29" x14ac:dyDescent="0.3">
      <c r="B45" s="5" t="s">
        <v>91</v>
      </c>
      <c r="C45" s="5" t="s">
        <v>2</v>
      </c>
      <c r="D45" s="5" t="s">
        <v>198</v>
      </c>
      <c r="E45" s="5" t="s">
        <v>25</v>
      </c>
      <c r="F45" s="5" t="s">
        <v>62</v>
      </c>
      <c r="G45" s="5" t="s">
        <v>62</v>
      </c>
      <c r="H45" s="5" t="s">
        <v>62</v>
      </c>
      <c r="I45" s="5" t="s">
        <v>511</v>
      </c>
      <c r="J45" s="5" t="s">
        <v>203</v>
      </c>
      <c r="K45" s="5" t="s">
        <v>203</v>
      </c>
      <c r="L45" s="5">
        <f>_xlfn.XLOOKUP(TB_Kochi[[#This Row],[MIS_Group1]],PL_Consol!B:B,PL_Consol!C:C)</f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7">
        <v>0</v>
      </c>
      <c r="W45" s="17">
        <v>0</v>
      </c>
      <c r="X45" s="17">
        <v>0</v>
      </c>
      <c r="Y45" s="17">
        <f>SUM(TB_Kochi[[#This Row],[Apr]:[Mar]])</f>
        <v>0</v>
      </c>
      <c r="Z45" s="89">
        <v>0</v>
      </c>
      <c r="AA45" s="17">
        <v>0</v>
      </c>
      <c r="AB45" s="17">
        <f>IFERROR(_xlfn.XLOOKUP(TB_Kochi[[#This Row],[Description]],[1]trialbalancePDS.rpt!$K$1:$K$65536,[1]trialbalancePDS.rpt!$J$1:$J$65536,0),0)</f>
        <v>0</v>
      </c>
      <c r="AC45" s="17"/>
    </row>
    <row r="46" spans="2:29" x14ac:dyDescent="0.3">
      <c r="B46" s="5" t="s">
        <v>92</v>
      </c>
      <c r="C46" s="5" t="s">
        <v>2</v>
      </c>
      <c r="D46" s="5" t="s">
        <v>198</v>
      </c>
      <c r="E46" s="5" t="s">
        <v>25</v>
      </c>
      <c r="F46" s="5" t="s">
        <v>62</v>
      </c>
      <c r="G46" s="5" t="s">
        <v>62</v>
      </c>
      <c r="H46" s="5" t="s">
        <v>62</v>
      </c>
      <c r="I46" s="5" t="s">
        <v>511</v>
      </c>
      <c r="J46" s="5" t="s">
        <v>202</v>
      </c>
      <c r="K46" s="5" t="s">
        <v>202</v>
      </c>
      <c r="L46" s="5">
        <f>_xlfn.XLOOKUP(TB_Kochi[[#This Row],[MIS_Group1]],PL_Consol!B:B,PL_Consol!C:C)</f>
        <v>3</v>
      </c>
      <c r="M46" s="16">
        <v>0</v>
      </c>
      <c r="N46" s="16">
        <v>0</v>
      </c>
      <c r="O46" s="16">
        <v>0</v>
      </c>
      <c r="P46" s="16">
        <v>0</v>
      </c>
      <c r="Q46" s="16">
        <v>1000</v>
      </c>
      <c r="R46" s="16">
        <v>2500</v>
      </c>
      <c r="S46" s="16">
        <v>0</v>
      </c>
      <c r="T46" s="16">
        <v>0</v>
      </c>
      <c r="U46" s="16">
        <v>0</v>
      </c>
      <c r="V46" s="17">
        <v>0</v>
      </c>
      <c r="W46" s="17">
        <v>1500</v>
      </c>
      <c r="X46" s="17">
        <v>0</v>
      </c>
      <c r="Y46" s="17">
        <f>SUM(TB_Kochi[[#This Row],[Apr]:[Mar]])</f>
        <v>5000</v>
      </c>
      <c r="Z46" s="89">
        <v>5000</v>
      </c>
      <c r="AA46" s="17">
        <v>500</v>
      </c>
      <c r="AB46" s="17">
        <f>IFERROR(_xlfn.XLOOKUP(TB_Kochi[[#This Row],[Description]],[1]trialbalancePDS.rpt!$K$1:$K$65536,[1]trialbalancePDS.rpt!$J$1:$J$65536,0),0)</f>
        <v>0</v>
      </c>
      <c r="AC46" s="17"/>
    </row>
    <row r="47" spans="2:29" x14ac:dyDescent="0.3">
      <c r="B47" s="5" t="s">
        <v>93</v>
      </c>
      <c r="C47" s="5" t="s">
        <v>2</v>
      </c>
      <c r="D47" s="5" t="s">
        <v>198</v>
      </c>
      <c r="E47" s="5" t="s">
        <v>25</v>
      </c>
      <c r="F47" s="5" t="s">
        <v>62</v>
      </c>
      <c r="G47" s="5" t="s">
        <v>62</v>
      </c>
      <c r="H47" s="5" t="s">
        <v>62</v>
      </c>
      <c r="I47" s="5" t="s">
        <v>511</v>
      </c>
      <c r="J47" s="5" t="s">
        <v>202</v>
      </c>
      <c r="K47" s="5" t="s">
        <v>202</v>
      </c>
      <c r="L47" s="5">
        <f>_xlfn.XLOOKUP(TB_Kochi[[#This Row],[MIS_Group1]],PL_Consol!B:B,PL_Consol!C:C)</f>
        <v>3</v>
      </c>
      <c r="M47" s="16">
        <v>1663403.5</v>
      </c>
      <c r="N47" s="16">
        <v>1244166</v>
      </c>
      <c r="O47" s="16">
        <v>1214429</v>
      </c>
      <c r="P47" s="16">
        <v>1594995.5</v>
      </c>
      <c r="Q47" s="16">
        <v>1651994.53</v>
      </c>
      <c r="R47" s="16">
        <v>1611736</v>
      </c>
      <c r="S47" s="16">
        <v>1435263.5</v>
      </c>
      <c r="T47" s="16">
        <v>1533729.74</v>
      </c>
      <c r="U47" s="16">
        <v>1428227</v>
      </c>
      <c r="V47" s="17">
        <v>1539889.73</v>
      </c>
      <c r="W47" s="17">
        <v>1271050.5</v>
      </c>
      <c r="X47" s="17">
        <v>1370086.12</v>
      </c>
      <c r="Y47" s="17">
        <f>SUM(TB_Kochi[[#This Row],[Apr]:[Mar]])</f>
        <v>17558971.120000001</v>
      </c>
      <c r="Z47" s="89">
        <v>17558971.120000001</v>
      </c>
      <c r="AA47" s="17">
        <v>999749</v>
      </c>
      <c r="AB47" s="17">
        <f>IFERROR(_xlfn.XLOOKUP(TB_Kochi[[#This Row],[Description]],[1]trialbalancePDS.rpt!$K$1:$K$65536,[1]trialbalancePDS.rpt!$J$1:$J$65536,0),0)</f>
        <v>1385327.3</v>
      </c>
      <c r="AC47" s="17"/>
    </row>
    <row r="48" spans="2:29" x14ac:dyDescent="0.3">
      <c r="B48" s="5" t="s">
        <v>94</v>
      </c>
      <c r="C48" s="5" t="s">
        <v>2</v>
      </c>
      <c r="D48" s="5" t="s">
        <v>198</v>
      </c>
      <c r="E48" s="5" t="s">
        <v>25</v>
      </c>
      <c r="F48" s="5" t="s">
        <v>62</v>
      </c>
      <c r="G48" s="5" t="s">
        <v>62</v>
      </c>
      <c r="H48" s="5" t="s">
        <v>62</v>
      </c>
      <c r="I48" s="5" t="s">
        <v>511</v>
      </c>
      <c r="J48" s="5" t="s">
        <v>200</v>
      </c>
      <c r="K48" s="5" t="s">
        <v>200</v>
      </c>
      <c r="L48" s="5">
        <f>_xlfn.XLOOKUP(TB_Kochi[[#This Row],[MIS_Group1]],PL_Consol!B:B,PL_Consol!C:C)</f>
        <v>2</v>
      </c>
      <c r="M48" s="16">
        <v>4140.8</v>
      </c>
      <c r="N48" s="16">
        <v>2442.23</v>
      </c>
      <c r="O48" s="16">
        <v>4862.3900000000003</v>
      </c>
      <c r="P48" s="16">
        <v>7331.2</v>
      </c>
      <c r="Q48" s="16">
        <v>5612.95</v>
      </c>
      <c r="R48" s="16">
        <v>46720.84</v>
      </c>
      <c r="S48" s="16">
        <v>4714.75</v>
      </c>
      <c r="T48" s="16">
        <v>4298.1899999999996</v>
      </c>
      <c r="U48" s="16">
        <v>7797.32</v>
      </c>
      <c r="V48" s="17">
        <v>7479.59</v>
      </c>
      <c r="W48" s="17">
        <v>5747.33</v>
      </c>
      <c r="X48" s="17">
        <v>14608.419999999998</v>
      </c>
      <c r="Y48" s="17">
        <f>SUM(TB_Kochi[[#This Row],[Apr]:[Mar]])</f>
        <v>115756.01000000001</v>
      </c>
      <c r="Z48" s="89">
        <v>115756.01</v>
      </c>
      <c r="AA48" s="17">
        <v>3869.01</v>
      </c>
      <c r="AB48" s="17">
        <f>IFERROR(_xlfn.XLOOKUP(TB_Kochi[[#This Row],[Description]],[1]trialbalancePDS.rpt!$K$1:$K$65536,[1]trialbalancePDS.rpt!$J$1:$J$65536,0),0)</f>
        <v>18836.04</v>
      </c>
      <c r="AC48" s="17"/>
    </row>
    <row r="49" spans="2:29" x14ac:dyDescent="0.3">
      <c r="B49" s="5" t="s">
        <v>95</v>
      </c>
      <c r="C49" s="5" t="s">
        <v>2</v>
      </c>
      <c r="D49" s="5" t="s">
        <v>198</v>
      </c>
      <c r="E49" s="5" t="s">
        <v>25</v>
      </c>
      <c r="F49" s="5" t="s">
        <v>62</v>
      </c>
      <c r="G49" s="5" t="s">
        <v>62</v>
      </c>
      <c r="H49" s="5" t="s">
        <v>62</v>
      </c>
      <c r="I49" s="5" t="s">
        <v>511</v>
      </c>
      <c r="J49" s="5" t="s">
        <v>201</v>
      </c>
      <c r="K49" s="5" t="s">
        <v>201</v>
      </c>
      <c r="L49" s="5">
        <f>_xlfn.XLOOKUP(TB_Kochi[[#This Row],[MIS_Group1]],PL_Consol!B:B,PL_Consol!C:C)</f>
        <v>4</v>
      </c>
      <c r="M49" s="16">
        <v>1405516.12</v>
      </c>
      <c r="N49" s="16">
        <v>1430550.27</v>
      </c>
      <c r="O49" s="16">
        <v>1318064.71</v>
      </c>
      <c r="P49" s="16">
        <v>1629522.59</v>
      </c>
      <c r="Q49" s="16">
        <v>1622119.56</v>
      </c>
      <c r="R49" s="16">
        <v>1542320.36</v>
      </c>
      <c r="S49" s="16">
        <v>1642831.17</v>
      </c>
      <c r="T49" s="16">
        <v>1464292.02</v>
      </c>
      <c r="U49" s="16">
        <v>1618178.2000000002</v>
      </c>
      <c r="V49" s="17">
        <v>1892446.49</v>
      </c>
      <c r="W49" s="17">
        <v>1606583.14</v>
      </c>
      <c r="X49" s="17">
        <v>1608004.1199999999</v>
      </c>
      <c r="Y49" s="17">
        <f>SUM(TB_Kochi[[#This Row],[Apr]:[Mar]])</f>
        <v>18780428.75</v>
      </c>
      <c r="Z49" s="89">
        <v>18780428.75</v>
      </c>
      <c r="AA49" s="17">
        <v>1631245.23</v>
      </c>
      <c r="AB49" s="17">
        <f>IFERROR(_xlfn.XLOOKUP(TB_Kochi[[#This Row],[Description]],[1]trialbalancePDS.rpt!$K$1:$K$65536,[1]trialbalancePDS.rpt!$J$1:$J$65536,0),0)</f>
        <v>1753559.6</v>
      </c>
      <c r="AC49" s="17"/>
    </row>
    <row r="50" spans="2:29" x14ac:dyDescent="0.3">
      <c r="B50" s="5" t="s">
        <v>96</v>
      </c>
      <c r="C50" s="5" t="s">
        <v>2</v>
      </c>
      <c r="D50" s="5" t="s">
        <v>198</v>
      </c>
      <c r="E50" s="5" t="s">
        <v>25</v>
      </c>
      <c r="F50" s="5" t="s">
        <v>62</v>
      </c>
      <c r="G50" s="5" t="s">
        <v>62</v>
      </c>
      <c r="H50" s="5" t="s">
        <v>62</v>
      </c>
      <c r="I50" s="5" t="s">
        <v>511</v>
      </c>
      <c r="J50" s="5" t="s">
        <v>203</v>
      </c>
      <c r="K50" s="5" t="s">
        <v>203</v>
      </c>
      <c r="L50" s="5">
        <f>_xlfn.XLOOKUP(TB_Kochi[[#This Row],[MIS_Group1]],PL_Consol!B:B,PL_Consol!C:C)</f>
        <v>1</v>
      </c>
      <c r="M50" s="16">
        <v>2850210.98</v>
      </c>
      <c r="N50" s="16">
        <v>2353329.71</v>
      </c>
      <c r="O50" s="16">
        <v>1217230.48</v>
      </c>
      <c r="P50" s="16">
        <v>1402933.46</v>
      </c>
      <c r="Q50" s="16">
        <v>1043577.5</v>
      </c>
      <c r="R50" s="16">
        <v>1536338.58</v>
      </c>
      <c r="S50" s="16">
        <v>2232973.11</v>
      </c>
      <c r="T50" s="16">
        <v>1425267.73</v>
      </c>
      <c r="U50" s="16">
        <v>2818374.35</v>
      </c>
      <c r="V50" s="17">
        <v>2972723.99</v>
      </c>
      <c r="W50" s="17">
        <v>3159890.35</v>
      </c>
      <c r="X50" s="17">
        <v>2373771.33</v>
      </c>
      <c r="Y50" s="17">
        <f>SUM(TB_Kochi[[#This Row],[Apr]:[Mar]])</f>
        <v>25386621.57</v>
      </c>
      <c r="Z50" s="89">
        <v>25386621.57</v>
      </c>
      <c r="AA50" s="17">
        <v>3673141.59</v>
      </c>
      <c r="AB50" s="17">
        <f>IFERROR(_xlfn.XLOOKUP(TB_Kochi[[#This Row],[Description]],[1]trialbalancePDS.rpt!$K$1:$K$65536,[1]trialbalancePDS.rpt!$J$1:$J$65536,0),0)</f>
        <v>1851222.09</v>
      </c>
      <c r="AC50" s="17"/>
    </row>
    <row r="51" spans="2:29" x14ac:dyDescent="0.3">
      <c r="B51" s="5" t="s">
        <v>97</v>
      </c>
      <c r="C51" s="5" t="s">
        <v>2</v>
      </c>
      <c r="D51" s="5" t="s">
        <v>198</v>
      </c>
      <c r="E51" s="5" t="s">
        <v>25</v>
      </c>
      <c r="F51" s="5" t="s">
        <v>62</v>
      </c>
      <c r="G51" s="5" t="s">
        <v>62</v>
      </c>
      <c r="H51" s="5" t="s">
        <v>62</v>
      </c>
      <c r="I51" s="5" t="s">
        <v>511</v>
      </c>
      <c r="J51" s="5" t="s">
        <v>203</v>
      </c>
      <c r="K51" s="5" t="s">
        <v>203</v>
      </c>
      <c r="L51" s="5">
        <f>_xlfn.XLOOKUP(TB_Kochi[[#This Row],[MIS_Group1]],PL_Consol!B:B,PL_Consol!C:C)</f>
        <v>1</v>
      </c>
      <c r="M51" s="16">
        <v>103708.67</v>
      </c>
      <c r="N51" s="16">
        <v>2790944</v>
      </c>
      <c r="O51" s="16">
        <v>39244.620000000003</v>
      </c>
      <c r="P51" s="16">
        <v>2182461.23</v>
      </c>
      <c r="Q51" s="16">
        <v>2325307.56</v>
      </c>
      <c r="R51" s="16">
        <v>2205908.65</v>
      </c>
      <c r="S51" s="16">
        <v>64198.82</v>
      </c>
      <c r="T51" s="16">
        <v>144181.04999999999</v>
      </c>
      <c r="U51" s="16">
        <v>2518155.7599999998</v>
      </c>
      <c r="V51" s="17">
        <v>17497.25</v>
      </c>
      <c r="W51" s="17">
        <v>40803.78</v>
      </c>
      <c r="X51" s="17">
        <v>6867672.7300000004</v>
      </c>
      <c r="Y51" s="17">
        <f>SUM(TB_Kochi[[#This Row],[Apr]:[Mar]])</f>
        <v>19300084.120000001</v>
      </c>
      <c r="Z51" s="89">
        <v>19300084.120000001</v>
      </c>
      <c r="AA51" s="17">
        <v>155617.60000000001</v>
      </c>
      <c r="AB51" s="17">
        <f>IFERROR(_xlfn.XLOOKUP(TB_Kochi[[#This Row],[Description]],[1]trialbalancePDS.rpt!$K$1:$K$65536,[1]trialbalancePDS.rpt!$J$1:$J$65536,0),0)</f>
        <v>63685.03</v>
      </c>
      <c r="AC51" s="17"/>
    </row>
    <row r="52" spans="2:29" x14ac:dyDescent="0.3">
      <c r="B52" s="5" t="s">
        <v>98</v>
      </c>
      <c r="C52" s="5" t="s">
        <v>2</v>
      </c>
      <c r="D52" s="5" t="s">
        <v>198</v>
      </c>
      <c r="E52" s="5" t="s">
        <v>25</v>
      </c>
      <c r="F52" s="5" t="s">
        <v>62</v>
      </c>
      <c r="G52" s="5" t="s">
        <v>62</v>
      </c>
      <c r="H52" s="5" t="s">
        <v>62</v>
      </c>
      <c r="I52" s="5" t="s">
        <v>511</v>
      </c>
      <c r="J52" s="5" t="s">
        <v>203</v>
      </c>
      <c r="K52" s="5" t="s">
        <v>203</v>
      </c>
      <c r="L52" s="5">
        <f>_xlfn.XLOOKUP(TB_Kochi[[#This Row],[MIS_Group1]],PL_Consol!B:B,PL_Consol!C:C)</f>
        <v>1</v>
      </c>
      <c r="M52" s="16">
        <v>2634991.46</v>
      </c>
      <c r="N52" s="16">
        <v>2727556.12</v>
      </c>
      <c r="O52" s="16">
        <v>2768172.93</v>
      </c>
      <c r="P52" s="16">
        <v>2909143.26</v>
      </c>
      <c r="Q52" s="16">
        <v>2459511.23</v>
      </c>
      <c r="R52" s="16">
        <v>2283375.9300000002</v>
      </c>
      <c r="S52" s="16">
        <v>2656176.3199999998</v>
      </c>
      <c r="T52" s="16">
        <v>2507234.12</v>
      </c>
      <c r="U52" s="16">
        <v>3047125.42</v>
      </c>
      <c r="V52" s="17">
        <v>3457757.36</v>
      </c>
      <c r="W52" s="17">
        <v>2796822.08</v>
      </c>
      <c r="X52" s="17">
        <v>3108557.97</v>
      </c>
      <c r="Y52" s="17">
        <f>SUM(TB_Kochi[[#This Row],[Apr]:[Mar]])</f>
        <v>33356424.199999996</v>
      </c>
      <c r="Z52" s="89">
        <v>33356424.199999999</v>
      </c>
      <c r="AA52" s="17">
        <v>3376178.34</v>
      </c>
      <c r="AB52" s="17">
        <f>IFERROR(_xlfn.XLOOKUP(TB_Kochi[[#This Row],[Description]],[1]trialbalancePDS.rpt!$K$1:$K$65536,[1]trialbalancePDS.rpt!$J$1:$J$65536,0),0)</f>
        <v>3542560.73</v>
      </c>
      <c r="AC52" s="17"/>
    </row>
    <row r="53" spans="2:29" x14ac:dyDescent="0.3">
      <c r="B53" s="5" t="s">
        <v>99</v>
      </c>
      <c r="C53" s="5" t="s">
        <v>2</v>
      </c>
      <c r="D53" s="5" t="s">
        <v>198</v>
      </c>
      <c r="E53" s="5" t="s">
        <v>25</v>
      </c>
      <c r="F53" s="5" t="s">
        <v>62</v>
      </c>
      <c r="G53" s="5" t="s">
        <v>62</v>
      </c>
      <c r="H53" s="5" t="s">
        <v>62</v>
      </c>
      <c r="I53" s="5" t="s">
        <v>511</v>
      </c>
      <c r="J53" s="5" t="s">
        <v>202</v>
      </c>
      <c r="K53" s="5" t="s">
        <v>202</v>
      </c>
      <c r="L53" s="5">
        <f>_xlfn.XLOOKUP(TB_Kochi[[#This Row],[MIS_Group1]],PL_Consol!B:B,PL_Consol!C:C)</f>
        <v>3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7">
        <v>0</v>
      </c>
      <c r="W53" s="17">
        <v>0</v>
      </c>
      <c r="X53" s="17">
        <v>0</v>
      </c>
      <c r="Y53" s="17">
        <f>SUM(TB_Kochi[[#This Row],[Apr]:[Mar]])</f>
        <v>0</v>
      </c>
      <c r="Z53" s="89">
        <v>0</v>
      </c>
      <c r="AA53" s="17">
        <v>0</v>
      </c>
      <c r="AB53" s="17">
        <f>IFERROR(_xlfn.XLOOKUP(TB_Kochi[[#This Row],[Description]],[1]trialbalancePDS.rpt!$K$1:$K$65536,[1]trialbalancePDS.rpt!$J$1:$J$65536,0),0)</f>
        <v>0</v>
      </c>
      <c r="AC53" s="17"/>
    </row>
    <row r="54" spans="2:29" x14ac:dyDescent="0.3">
      <c r="B54" s="5" t="s">
        <v>100</v>
      </c>
      <c r="C54" s="5" t="s">
        <v>2</v>
      </c>
      <c r="D54" s="5" t="s">
        <v>198</v>
      </c>
      <c r="E54" s="5" t="s">
        <v>25</v>
      </c>
      <c r="F54" s="5" t="s">
        <v>60</v>
      </c>
      <c r="G54" s="5" t="s">
        <v>60</v>
      </c>
      <c r="H54" s="5" t="s">
        <v>60</v>
      </c>
      <c r="I54" s="5" t="s">
        <v>511</v>
      </c>
      <c r="J54" s="5" t="s">
        <v>268</v>
      </c>
      <c r="K54" s="5" t="s">
        <v>269</v>
      </c>
      <c r="L54" s="5">
        <f>_xlfn.XLOOKUP(TB_Kochi[[#This Row],[MIS_Group1]],PL_Consol!B:B,PL_Consol!C:C)</f>
        <v>8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7">
        <v>0</v>
      </c>
      <c r="W54" s="17">
        <v>0</v>
      </c>
      <c r="X54" s="17">
        <v>0</v>
      </c>
      <c r="Y54" s="17">
        <f>SUM(TB_Kochi[[#This Row],[Apr]:[Mar]])</f>
        <v>0</v>
      </c>
      <c r="Z54" s="89">
        <v>0</v>
      </c>
      <c r="AA54" s="17">
        <v>532375.56000000006</v>
      </c>
      <c r="AB54" s="17">
        <f>IFERROR(_xlfn.XLOOKUP(TB_Kochi[[#This Row],[Description]],[1]trialbalancePDS.rpt!$K$1:$K$65536,[1]trialbalancePDS.rpt!$J$1:$J$65536,0),0)</f>
        <v>361114.83</v>
      </c>
      <c r="AC54" s="17"/>
    </row>
    <row r="55" spans="2:29" x14ac:dyDescent="0.3">
      <c r="B55" s="5" t="s">
        <v>101</v>
      </c>
      <c r="C55" s="5" t="s">
        <v>2</v>
      </c>
      <c r="D55" s="5" t="s">
        <v>198</v>
      </c>
      <c r="E55" s="5" t="s">
        <v>25</v>
      </c>
      <c r="F55" s="5" t="s">
        <v>57</v>
      </c>
      <c r="G55" s="5" t="s">
        <v>58</v>
      </c>
      <c r="H55" s="5" t="s">
        <v>101</v>
      </c>
      <c r="I55" s="5" t="s">
        <v>511</v>
      </c>
      <c r="J55" s="5" t="s">
        <v>272</v>
      </c>
      <c r="K55" s="5" t="s">
        <v>273</v>
      </c>
      <c r="L55" s="5">
        <f>_xlfn.XLOOKUP(TB_Kochi[[#This Row],[MIS_Group1]],PL_Consol!B:B,PL_Consol!C:C)</f>
        <v>10</v>
      </c>
      <c r="M55" s="16">
        <v>1356900</v>
      </c>
      <c r="N55" s="16">
        <v>1356900</v>
      </c>
      <c r="O55" s="16">
        <v>1356900</v>
      </c>
      <c r="P55" s="16">
        <v>1356900</v>
      </c>
      <c r="Q55" s="16">
        <v>1356900</v>
      </c>
      <c r="R55" s="16">
        <v>1356900</v>
      </c>
      <c r="S55" s="16">
        <v>1356900</v>
      </c>
      <c r="T55" s="16">
        <v>1356900</v>
      </c>
      <c r="U55" s="16">
        <v>1356900</v>
      </c>
      <c r="V55" s="17">
        <v>1356900</v>
      </c>
      <c r="W55" s="17">
        <v>1356900</v>
      </c>
      <c r="X55" s="17">
        <v>1356900</v>
      </c>
      <c r="Y55" s="17">
        <f>SUM(TB_Kochi[[#This Row],[Apr]:[Mar]])</f>
        <v>16282800</v>
      </c>
      <c r="Z55" s="89">
        <v>16282800</v>
      </c>
      <c r="AA55" s="17">
        <v>1356900</v>
      </c>
      <c r="AB55" s="17">
        <f>IFERROR(_xlfn.XLOOKUP(TB_Kochi[[#This Row],[Description]],[1]trialbalancePDS.rpt!$K$1:$K$65536,[1]trialbalancePDS.rpt!$J$1:$J$65536,0),0)</f>
        <v>1356900</v>
      </c>
      <c r="AC55" s="17"/>
    </row>
    <row r="56" spans="2:29" x14ac:dyDescent="0.3">
      <c r="B56" s="5" t="s">
        <v>102</v>
      </c>
      <c r="C56" s="5" t="s">
        <v>2</v>
      </c>
      <c r="D56" s="5" t="s">
        <v>198</v>
      </c>
      <c r="E56" s="5" t="s">
        <v>25</v>
      </c>
      <c r="F56" s="5" t="s">
        <v>57</v>
      </c>
      <c r="G56" s="5" t="s">
        <v>58</v>
      </c>
      <c r="H56" s="5" t="s">
        <v>102</v>
      </c>
      <c r="I56" s="5" t="s">
        <v>511</v>
      </c>
      <c r="J56" s="5" t="s">
        <v>205</v>
      </c>
      <c r="K56" s="5" t="s">
        <v>274</v>
      </c>
      <c r="L56" s="5">
        <f>_xlfn.XLOOKUP(TB_Kochi[[#This Row],[MIS_Group1]],PL_Consol!B:B,PL_Consol!C:C)</f>
        <v>9</v>
      </c>
      <c r="M56" s="16">
        <v>5422317</v>
      </c>
      <c r="N56" s="16">
        <v>5947409</v>
      </c>
      <c r="O56" s="16">
        <v>5815894</v>
      </c>
      <c r="P56" s="16">
        <v>4363761</v>
      </c>
      <c r="Q56" s="16">
        <v>4728826</v>
      </c>
      <c r="R56" s="16">
        <v>5132042</v>
      </c>
      <c r="S56" s="16">
        <v>4350713</v>
      </c>
      <c r="T56" s="16">
        <v>4942651</v>
      </c>
      <c r="U56" s="16">
        <v>6264858</v>
      </c>
      <c r="V56" s="17">
        <v>5723407</v>
      </c>
      <c r="W56" s="17">
        <v>5552103</v>
      </c>
      <c r="X56" s="17">
        <v>5677124</v>
      </c>
      <c r="Y56" s="17">
        <f>SUM(TB_Kochi[[#This Row],[Apr]:[Mar]])</f>
        <v>63921105</v>
      </c>
      <c r="Z56" s="89">
        <v>63921105</v>
      </c>
      <c r="AA56" s="17">
        <v>5607216</v>
      </c>
      <c r="AB56" s="17">
        <f>IFERROR(_xlfn.XLOOKUP(TB_Kochi[[#This Row],[Description]],[1]trialbalancePDS.rpt!$K$1:$K$65536,[1]trialbalancePDS.rpt!$J$1:$J$65536,0),0)</f>
        <v>5649906</v>
      </c>
      <c r="AC56" s="17"/>
    </row>
    <row r="57" spans="2:29" x14ac:dyDescent="0.3">
      <c r="B57" s="5" t="s">
        <v>103</v>
      </c>
      <c r="C57" s="5" t="s">
        <v>2</v>
      </c>
      <c r="D57" s="5" t="s">
        <v>198</v>
      </c>
      <c r="E57" s="5" t="s">
        <v>25</v>
      </c>
      <c r="F57" s="5" t="s">
        <v>57</v>
      </c>
      <c r="G57" s="5" t="s">
        <v>58</v>
      </c>
      <c r="H57" s="5" t="s">
        <v>105</v>
      </c>
      <c r="I57" s="5" t="s">
        <v>511</v>
      </c>
      <c r="J57" s="5" t="s">
        <v>272</v>
      </c>
      <c r="K57" s="5" t="s">
        <v>273</v>
      </c>
      <c r="L57" s="5">
        <f>_xlfn.XLOOKUP(TB_Kochi[[#This Row],[MIS_Group1]],PL_Consol!B:B,PL_Consol!C:C)</f>
        <v>10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6043895</v>
      </c>
      <c r="S57" s="16">
        <v>0</v>
      </c>
      <c r="T57" s="16">
        <v>0</v>
      </c>
      <c r="U57" s="16">
        <v>0</v>
      </c>
      <c r="V57" s="17">
        <v>0</v>
      </c>
      <c r="W57" s="17">
        <v>0</v>
      </c>
      <c r="X57" s="17">
        <v>0</v>
      </c>
      <c r="Y57" s="17">
        <f>SUM(TB_Kochi[[#This Row],[Apr]:[Mar]])</f>
        <v>6043895</v>
      </c>
      <c r="Z57" s="89">
        <v>6043895</v>
      </c>
      <c r="AA57" s="17">
        <v>0</v>
      </c>
      <c r="AB57" s="17">
        <f>IFERROR(_xlfn.XLOOKUP(TB_Kochi[[#This Row],[Description]],[1]trialbalancePDS.rpt!$K$1:$K$65536,[1]trialbalancePDS.rpt!$J$1:$J$65536,0),0)</f>
        <v>0</v>
      </c>
      <c r="AC57" s="17"/>
    </row>
    <row r="58" spans="2:29" x14ac:dyDescent="0.3">
      <c r="B58" s="5" t="s">
        <v>104</v>
      </c>
      <c r="C58" s="5" t="s">
        <v>2</v>
      </c>
      <c r="D58" s="5" t="s">
        <v>198</v>
      </c>
      <c r="E58" s="5" t="s">
        <v>25</v>
      </c>
      <c r="F58" s="5" t="s">
        <v>57</v>
      </c>
      <c r="G58" s="5" t="s">
        <v>58</v>
      </c>
      <c r="H58" s="5" t="s">
        <v>105</v>
      </c>
      <c r="I58" s="5" t="s">
        <v>511</v>
      </c>
      <c r="J58" s="5" t="s">
        <v>272</v>
      </c>
      <c r="K58" s="5" t="s">
        <v>273</v>
      </c>
      <c r="L58" s="5">
        <f>_xlfn.XLOOKUP(TB_Kochi[[#This Row],[MIS_Group1]],PL_Consol!B:B,PL_Consol!C:C)</f>
        <v>10</v>
      </c>
      <c r="M58" s="16">
        <v>-9627</v>
      </c>
      <c r="N58" s="16">
        <v>-8112</v>
      </c>
      <c r="O58" s="16">
        <v>-9418</v>
      </c>
      <c r="P58" s="16">
        <v>-8120</v>
      </c>
      <c r="Q58" s="16">
        <v>-8128</v>
      </c>
      <c r="R58" s="16">
        <v>-7794</v>
      </c>
      <c r="S58" s="16">
        <v>-7418</v>
      </c>
      <c r="T58" s="16">
        <v>-7377</v>
      </c>
      <c r="U58" s="16">
        <v>-7064</v>
      </c>
      <c r="V58" s="17">
        <v>-7197</v>
      </c>
      <c r="W58" s="17">
        <v>-7124</v>
      </c>
      <c r="X58" s="17">
        <v>-7136</v>
      </c>
      <c r="Y58" s="17">
        <f>SUM(TB_Kochi[[#This Row],[Apr]:[Mar]])</f>
        <v>-94515</v>
      </c>
      <c r="Z58" s="89">
        <v>-94515</v>
      </c>
      <c r="AA58" s="17">
        <v>-6935</v>
      </c>
      <c r="AB58" s="17">
        <f>IFERROR(_xlfn.XLOOKUP(TB_Kochi[[#This Row],[Description]],[1]trialbalancePDS.rpt!$K$1:$K$65536,[1]trialbalancePDS.rpt!$J$1:$J$65536,0),0)</f>
        <v>-7160</v>
      </c>
      <c r="AC58" s="17"/>
    </row>
    <row r="59" spans="2:29" x14ac:dyDescent="0.3">
      <c r="B59" s="5" t="s">
        <v>105</v>
      </c>
      <c r="C59" s="5" t="s">
        <v>2</v>
      </c>
      <c r="D59" s="5" t="s">
        <v>198</v>
      </c>
      <c r="E59" s="5" t="s">
        <v>25</v>
      </c>
      <c r="F59" s="5" t="s">
        <v>57</v>
      </c>
      <c r="G59" s="5" t="s">
        <v>58</v>
      </c>
      <c r="H59" s="5" t="s">
        <v>105</v>
      </c>
      <c r="I59" s="5" t="s">
        <v>511</v>
      </c>
      <c r="J59" s="5" t="s">
        <v>272</v>
      </c>
      <c r="K59" s="5" t="s">
        <v>273</v>
      </c>
      <c r="L59" s="5">
        <f>_xlfn.XLOOKUP(TB_Kochi[[#This Row],[MIS_Group1]],PL_Consol!B:B,PL_Consol!C:C)</f>
        <v>10</v>
      </c>
      <c r="M59" s="16">
        <v>46435480</v>
      </c>
      <c r="N59" s="16">
        <v>49431318</v>
      </c>
      <c r="O59" s="16">
        <v>48534638</v>
      </c>
      <c r="P59" s="16">
        <v>47623632</v>
      </c>
      <c r="Q59" s="16">
        <v>48402686</v>
      </c>
      <c r="R59" s="16">
        <v>48347669</v>
      </c>
      <c r="S59" s="16">
        <v>50407729.619999997</v>
      </c>
      <c r="T59" s="16">
        <v>47086639</v>
      </c>
      <c r="U59" s="16">
        <v>48578570</v>
      </c>
      <c r="V59" s="17">
        <v>47708883.380000003</v>
      </c>
      <c r="W59" s="17">
        <v>48824112</v>
      </c>
      <c r="X59" s="17">
        <v>52164639.399999999</v>
      </c>
      <c r="Y59" s="17">
        <f>SUM(TB_Kochi[[#This Row],[Apr]:[Mar]])</f>
        <v>583545996.39999998</v>
      </c>
      <c r="Z59" s="89">
        <v>583545996.39999998</v>
      </c>
      <c r="AA59" s="17">
        <v>52717396</v>
      </c>
      <c r="AB59" s="17">
        <f>IFERROR(_xlfn.XLOOKUP(TB_Kochi[[#This Row],[Description]],[1]trialbalancePDS.rpt!$K$1:$K$65536,[1]trialbalancePDS.rpt!$J$1:$J$65536,0),0)</f>
        <v>52533597</v>
      </c>
      <c r="AC59" s="17"/>
    </row>
    <row r="60" spans="2:29" x14ac:dyDescent="0.3">
      <c r="B60" s="5" t="s">
        <v>106</v>
      </c>
      <c r="C60" s="5" t="s">
        <v>2</v>
      </c>
      <c r="D60" s="5" t="s">
        <v>198</v>
      </c>
      <c r="E60" s="5" t="s">
        <v>25</v>
      </c>
      <c r="F60" s="5" t="s">
        <v>57</v>
      </c>
      <c r="G60" s="5" t="s">
        <v>58</v>
      </c>
      <c r="H60" s="5" t="s">
        <v>238</v>
      </c>
      <c r="I60" s="5" t="s">
        <v>511</v>
      </c>
      <c r="J60" s="5" t="s">
        <v>272</v>
      </c>
      <c r="K60" s="5" t="s">
        <v>273</v>
      </c>
      <c r="L60" s="5">
        <f>_xlfn.XLOOKUP(TB_Kochi[[#This Row],[MIS_Group1]],PL_Consol!B:B,PL_Consol!C:C)</f>
        <v>10</v>
      </c>
      <c r="M60" s="16">
        <v>4236042</v>
      </c>
      <c r="N60" s="16">
        <v>4647544</v>
      </c>
      <c r="O60" s="16">
        <v>4724852</v>
      </c>
      <c r="P60" s="16">
        <v>5034382</v>
      </c>
      <c r="Q60" s="16">
        <v>5019955</v>
      </c>
      <c r="R60" s="16">
        <v>5248654</v>
      </c>
      <c r="S60" s="16">
        <v>4671230</v>
      </c>
      <c r="T60" s="16">
        <v>4201323</v>
      </c>
      <c r="U60" s="16">
        <v>3761901</v>
      </c>
      <c r="V60" s="17">
        <v>3872618</v>
      </c>
      <c r="W60" s="17">
        <v>3701839</v>
      </c>
      <c r="X60" s="17">
        <v>4045695</v>
      </c>
      <c r="Y60" s="17">
        <f>SUM(TB_Kochi[[#This Row],[Apr]:[Mar]])</f>
        <v>53166035</v>
      </c>
      <c r="Z60" s="89">
        <v>53166035</v>
      </c>
      <c r="AA60" s="17">
        <v>3965740</v>
      </c>
      <c r="AB60" s="17">
        <f>IFERROR(_xlfn.XLOOKUP(TB_Kochi[[#This Row],[Description]],[1]trialbalancePDS.rpt!$K$1:$K$65536,[1]trialbalancePDS.rpt!$J$1:$J$65536,0),0)</f>
        <v>3830440</v>
      </c>
      <c r="AC60" s="17"/>
    </row>
    <row r="61" spans="2:29" x14ac:dyDescent="0.3">
      <c r="B61" s="5" t="s">
        <v>107</v>
      </c>
      <c r="C61" s="5" t="s">
        <v>2</v>
      </c>
      <c r="D61" s="5" t="s">
        <v>198</v>
      </c>
      <c r="E61" s="5" t="s">
        <v>25</v>
      </c>
      <c r="F61" s="5" t="s">
        <v>57</v>
      </c>
      <c r="G61" s="5" t="s">
        <v>58</v>
      </c>
      <c r="H61" s="5" t="s">
        <v>238</v>
      </c>
      <c r="I61" s="5" t="s">
        <v>511</v>
      </c>
      <c r="J61" s="5" t="s">
        <v>272</v>
      </c>
      <c r="K61" s="5" t="s">
        <v>273</v>
      </c>
      <c r="L61" s="5">
        <f>_xlfn.XLOOKUP(TB_Kochi[[#This Row],[MIS_Group1]],PL_Consol!B:B,PL_Consol!C:C)</f>
        <v>10</v>
      </c>
      <c r="M61" s="16">
        <v>0</v>
      </c>
      <c r="N61" s="16">
        <v>3500</v>
      </c>
      <c r="O61" s="16">
        <v>14342.27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2000</v>
      </c>
      <c r="V61" s="17">
        <v>0</v>
      </c>
      <c r="W61" s="17">
        <v>0</v>
      </c>
      <c r="X61" s="17">
        <v>0</v>
      </c>
      <c r="Y61" s="17">
        <f>SUM(TB_Kochi[[#This Row],[Apr]:[Mar]])</f>
        <v>19842.27</v>
      </c>
      <c r="Z61" s="89">
        <v>19842.27</v>
      </c>
      <c r="AA61" s="17">
        <v>0</v>
      </c>
      <c r="AB61" s="17">
        <f>IFERROR(_xlfn.XLOOKUP(TB_Kochi[[#This Row],[Description]],[1]trialbalancePDS.rpt!$K$1:$K$65536,[1]trialbalancePDS.rpt!$J$1:$J$65536,0),0)</f>
        <v>0</v>
      </c>
      <c r="AC61" s="17"/>
    </row>
    <row r="62" spans="2:29" x14ac:dyDescent="0.3">
      <c r="B62" s="5" t="s">
        <v>108</v>
      </c>
      <c r="C62" s="5" t="s">
        <v>2</v>
      </c>
      <c r="D62" s="5" t="s">
        <v>198</v>
      </c>
      <c r="E62" s="5" t="s">
        <v>25</v>
      </c>
      <c r="F62" s="5" t="s">
        <v>57</v>
      </c>
      <c r="G62" s="5" t="s">
        <v>232</v>
      </c>
      <c r="H62" s="5" t="s">
        <v>232</v>
      </c>
      <c r="I62" s="5" t="s">
        <v>511</v>
      </c>
      <c r="J62" s="5" t="s">
        <v>272</v>
      </c>
      <c r="K62" s="5" t="s">
        <v>275</v>
      </c>
      <c r="L62" s="5">
        <f>_xlfn.XLOOKUP(TB_Kochi[[#This Row],[MIS_Group1]],PL_Consol!B:B,PL_Consol!C:C)</f>
        <v>10</v>
      </c>
      <c r="M62" s="16">
        <v>0</v>
      </c>
      <c r="N62" s="16">
        <v>79341</v>
      </c>
      <c r="O62" s="16">
        <v>88514</v>
      </c>
      <c r="P62" s="16">
        <v>94953</v>
      </c>
      <c r="Q62" s="16">
        <v>96244</v>
      </c>
      <c r="R62" s="16">
        <v>99929</v>
      </c>
      <c r="S62" s="16">
        <v>109112</v>
      </c>
      <c r="T62" s="16">
        <v>66815</v>
      </c>
      <c r="U62" s="16">
        <v>63509</v>
      </c>
      <c r="V62" s="17">
        <v>63297</v>
      </c>
      <c r="W62" s="17">
        <v>135179</v>
      </c>
      <c r="X62" s="17">
        <v>73453</v>
      </c>
      <c r="Y62" s="17">
        <f>SUM(TB_Kochi[[#This Row],[Apr]:[Mar]])</f>
        <v>970346</v>
      </c>
      <c r="Z62" s="89">
        <v>970346</v>
      </c>
      <c r="AA62" s="17">
        <v>70265</v>
      </c>
      <c r="AB62" s="17">
        <f>IFERROR(_xlfn.XLOOKUP(TB_Kochi[[#This Row],[Description]],[1]trialbalancePDS.rpt!$K$1:$K$65536,[1]trialbalancePDS.rpt!$J$1:$J$65536,0),0)</f>
        <v>68092</v>
      </c>
      <c r="AC62" s="17"/>
    </row>
    <row r="63" spans="2:29" x14ac:dyDescent="0.3">
      <c r="B63" s="5" t="s">
        <v>109</v>
      </c>
      <c r="C63" s="5" t="s">
        <v>2</v>
      </c>
      <c r="D63" s="5" t="s">
        <v>198</v>
      </c>
      <c r="E63" s="5" t="s">
        <v>25</v>
      </c>
      <c r="F63" s="5" t="s">
        <v>57</v>
      </c>
      <c r="G63" s="5" t="s">
        <v>232</v>
      </c>
      <c r="H63" s="5" t="s">
        <v>232</v>
      </c>
      <c r="I63" s="5" t="s">
        <v>511</v>
      </c>
      <c r="J63" s="5" t="s">
        <v>272</v>
      </c>
      <c r="K63" s="5" t="s">
        <v>275</v>
      </c>
      <c r="L63" s="5">
        <f>_xlfn.XLOOKUP(TB_Kochi[[#This Row],[MIS_Group1]],PL_Consol!B:B,PL_Consol!C:C)</f>
        <v>10</v>
      </c>
      <c r="M63" s="16">
        <v>0</v>
      </c>
      <c r="N63" s="16">
        <v>103988</v>
      </c>
      <c r="O63" s="16">
        <v>104330</v>
      </c>
      <c r="P63" s="16">
        <v>105657</v>
      </c>
      <c r="Q63" s="16">
        <v>107428</v>
      </c>
      <c r="R63" s="16">
        <v>108179</v>
      </c>
      <c r="S63" s="16">
        <v>100504</v>
      </c>
      <c r="T63" s="16">
        <v>101739</v>
      </c>
      <c r="U63" s="16">
        <v>102189</v>
      </c>
      <c r="V63" s="17">
        <v>100320</v>
      </c>
      <c r="W63" s="17">
        <v>203978</v>
      </c>
      <c r="X63" s="17">
        <v>103135</v>
      </c>
      <c r="Y63" s="17">
        <f>SUM(TB_Kochi[[#This Row],[Apr]:[Mar]])</f>
        <v>1241447</v>
      </c>
      <c r="Z63" s="89">
        <v>1241447</v>
      </c>
      <c r="AA63" s="17">
        <v>102190</v>
      </c>
      <c r="AB63" s="17">
        <f>IFERROR(_xlfn.XLOOKUP(TB_Kochi[[#This Row],[Description]],[1]trialbalancePDS.rpt!$K$1:$K$65536,[1]trialbalancePDS.rpt!$J$1:$J$65536,0),0)</f>
        <v>101340</v>
      </c>
      <c r="AC63" s="17"/>
    </row>
    <row r="64" spans="2:29" x14ac:dyDescent="0.3">
      <c r="B64" s="5" t="s">
        <v>110</v>
      </c>
      <c r="C64" s="5" t="s">
        <v>2</v>
      </c>
      <c r="D64" s="5" t="s">
        <v>198</v>
      </c>
      <c r="E64" s="5" t="s">
        <v>25</v>
      </c>
      <c r="F64" s="5" t="s">
        <v>57</v>
      </c>
      <c r="G64" s="5" t="s">
        <v>232</v>
      </c>
      <c r="H64" s="5" t="s">
        <v>232</v>
      </c>
      <c r="I64" s="5" t="s">
        <v>511</v>
      </c>
      <c r="J64" s="5" t="s">
        <v>272</v>
      </c>
      <c r="K64" s="5" t="s">
        <v>275</v>
      </c>
      <c r="L64" s="5">
        <f>_xlfn.XLOOKUP(TB_Kochi[[#This Row],[MIS_Group1]],PL_Consol!B:B,PL_Consol!C:C)</f>
        <v>10</v>
      </c>
      <c r="M64" s="16">
        <v>0</v>
      </c>
      <c r="N64" s="16">
        <v>2426611</v>
      </c>
      <c r="O64" s="16">
        <v>2427795</v>
      </c>
      <c r="P64" s="16">
        <v>2458370</v>
      </c>
      <c r="Q64" s="16">
        <v>2483463</v>
      </c>
      <c r="R64" s="16">
        <v>2492070</v>
      </c>
      <c r="S64" s="16">
        <v>2510084</v>
      </c>
      <c r="T64" s="16">
        <v>2567846</v>
      </c>
      <c r="U64" s="16">
        <v>2452525</v>
      </c>
      <c r="V64" s="17">
        <v>2407679</v>
      </c>
      <c r="W64" s="17">
        <v>4925614</v>
      </c>
      <c r="X64" s="17">
        <v>2447026</v>
      </c>
      <c r="Y64" s="17">
        <f>SUM(TB_Kochi[[#This Row],[Apr]:[Mar]])</f>
        <v>29599083</v>
      </c>
      <c r="Z64" s="89">
        <v>29599083</v>
      </c>
      <c r="AA64" s="17">
        <v>2450657</v>
      </c>
      <c r="AB64" s="17">
        <f>IFERROR(_xlfn.XLOOKUP(TB_Kochi[[#This Row],[Description]],[1]trialbalancePDS.rpt!$K$1:$K$65536,[1]trialbalancePDS.rpt!$J$1:$J$65536,0),0)</f>
        <v>2432176</v>
      </c>
      <c r="AC64" s="17"/>
    </row>
    <row r="65" spans="2:29" x14ac:dyDescent="0.3">
      <c r="B65" s="5" t="s">
        <v>111</v>
      </c>
      <c r="C65" s="5" t="s">
        <v>2</v>
      </c>
      <c r="D65" s="5" t="s">
        <v>198</v>
      </c>
      <c r="E65" s="5" t="s">
        <v>25</v>
      </c>
      <c r="F65" s="5" t="s">
        <v>57</v>
      </c>
      <c r="G65" s="5" t="s">
        <v>59</v>
      </c>
      <c r="H65" s="5" t="s">
        <v>59</v>
      </c>
      <c r="I65" s="5" t="s">
        <v>511</v>
      </c>
      <c r="J65" s="5" t="s">
        <v>272</v>
      </c>
      <c r="K65" s="5" t="s">
        <v>276</v>
      </c>
      <c r="L65" s="5">
        <f>_xlfn.XLOOKUP(TB_Kochi[[#This Row],[MIS_Group1]],PL_Consol!B:B,PL_Consol!C:C)</f>
        <v>10</v>
      </c>
      <c r="M65" s="16">
        <v>0</v>
      </c>
      <c r="N65" s="16">
        <v>0</v>
      </c>
      <c r="O65" s="16">
        <v>0</v>
      </c>
      <c r="P65" s="16">
        <v>0</v>
      </c>
      <c r="Q65" s="16">
        <v>17300</v>
      </c>
      <c r="R65" s="16">
        <v>9750</v>
      </c>
      <c r="S65" s="16">
        <v>0</v>
      </c>
      <c r="T65" s="16">
        <v>0</v>
      </c>
      <c r="U65" s="16">
        <v>0</v>
      </c>
      <c r="V65" s="17">
        <v>10000</v>
      </c>
      <c r="W65" s="17">
        <v>0</v>
      </c>
      <c r="X65" s="17">
        <v>0</v>
      </c>
      <c r="Y65" s="17">
        <f>SUM(TB_Kochi[[#This Row],[Apr]:[Mar]])</f>
        <v>37050</v>
      </c>
      <c r="Z65" s="89">
        <v>37050</v>
      </c>
      <c r="AA65" s="17">
        <v>0</v>
      </c>
      <c r="AB65" s="17">
        <f>IFERROR(_xlfn.XLOOKUP(TB_Kochi[[#This Row],[Description]],[1]trialbalancePDS.rpt!$K$1:$K$65536,[1]trialbalancePDS.rpt!$J$1:$J$65536,0),0)</f>
        <v>18000</v>
      </c>
      <c r="AC65" s="17"/>
    </row>
    <row r="66" spans="2:29" x14ac:dyDescent="0.3">
      <c r="B66" s="5" t="s">
        <v>112</v>
      </c>
      <c r="C66" s="5" t="s">
        <v>2</v>
      </c>
      <c r="D66" s="5" t="s">
        <v>198</v>
      </c>
      <c r="E66" s="5" t="s">
        <v>25</v>
      </c>
      <c r="F66" s="5" t="s">
        <v>57</v>
      </c>
      <c r="G66" s="5" t="s">
        <v>59</v>
      </c>
      <c r="H66" s="5" t="s">
        <v>59</v>
      </c>
      <c r="I66" s="5" t="s">
        <v>511</v>
      </c>
      <c r="J66" s="5" t="s">
        <v>272</v>
      </c>
      <c r="K66" s="5" t="s">
        <v>276</v>
      </c>
      <c r="L66" s="5">
        <f>_xlfn.XLOOKUP(TB_Kochi[[#This Row],[MIS_Group1]],PL_Consol!B:B,PL_Consol!C:C)</f>
        <v>10</v>
      </c>
      <c r="M66" s="16">
        <v>0</v>
      </c>
      <c r="N66" s="16">
        <v>2000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7">
        <v>0</v>
      </c>
      <c r="W66" s="17">
        <v>0</v>
      </c>
      <c r="X66" s="17">
        <v>0</v>
      </c>
      <c r="Y66" s="17">
        <f>SUM(TB_Kochi[[#This Row],[Apr]:[Mar]])</f>
        <v>2000</v>
      </c>
      <c r="Z66" s="89">
        <v>2000</v>
      </c>
      <c r="AA66" s="17">
        <v>0</v>
      </c>
      <c r="AB66" s="17">
        <f>IFERROR(_xlfn.XLOOKUP(TB_Kochi[[#This Row],[Description]],[1]trialbalancePDS.rpt!$K$1:$K$65536,[1]trialbalancePDS.rpt!$J$1:$J$65536,0),0)</f>
        <v>0</v>
      </c>
      <c r="AC66" s="17"/>
    </row>
    <row r="67" spans="2:29" x14ac:dyDescent="0.3">
      <c r="B67" s="5" t="s">
        <v>113</v>
      </c>
      <c r="C67" s="5" t="s">
        <v>2</v>
      </c>
      <c r="D67" s="5" t="s">
        <v>198</v>
      </c>
      <c r="E67" s="5" t="s">
        <v>25</v>
      </c>
      <c r="F67" s="5" t="s">
        <v>57</v>
      </c>
      <c r="G67" s="5" t="s">
        <v>59</v>
      </c>
      <c r="H67" s="5" t="s">
        <v>59</v>
      </c>
      <c r="I67" s="5" t="s">
        <v>511</v>
      </c>
      <c r="J67" s="5" t="s">
        <v>272</v>
      </c>
      <c r="K67" s="5" t="s">
        <v>276</v>
      </c>
      <c r="L67" s="5">
        <f>_xlfn.XLOOKUP(TB_Kochi[[#This Row],[MIS_Group1]],PL_Consol!B:B,PL_Consol!C:C)</f>
        <v>10</v>
      </c>
      <c r="M67" s="16">
        <v>0</v>
      </c>
      <c r="N67" s="16">
        <v>4650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7">
        <v>0</v>
      </c>
      <c r="W67" s="17">
        <v>0</v>
      </c>
      <c r="X67" s="17">
        <v>0</v>
      </c>
      <c r="Y67" s="17">
        <f>SUM(TB_Kochi[[#This Row],[Apr]:[Mar]])</f>
        <v>4650</v>
      </c>
      <c r="Z67" s="89">
        <v>4650</v>
      </c>
      <c r="AA67" s="17">
        <v>0</v>
      </c>
      <c r="AB67" s="17">
        <f>IFERROR(_xlfn.XLOOKUP(TB_Kochi[[#This Row],[Description]],[1]trialbalancePDS.rpt!$K$1:$K$65536,[1]trialbalancePDS.rpt!$J$1:$J$65536,0),0)</f>
        <v>0</v>
      </c>
      <c r="AC67" s="17"/>
    </row>
    <row r="68" spans="2:29" x14ac:dyDescent="0.3">
      <c r="B68" s="5" t="s">
        <v>59</v>
      </c>
      <c r="C68" s="5" t="s">
        <v>2</v>
      </c>
      <c r="D68" s="5" t="s">
        <v>198</v>
      </c>
      <c r="E68" s="5" t="s">
        <v>25</v>
      </c>
      <c r="F68" s="5" t="s">
        <v>57</v>
      </c>
      <c r="G68" s="5" t="s">
        <v>59</v>
      </c>
      <c r="H68" s="5" t="s">
        <v>59</v>
      </c>
      <c r="I68" s="5" t="s">
        <v>511</v>
      </c>
      <c r="J68" s="5" t="s">
        <v>272</v>
      </c>
      <c r="K68" s="5" t="s">
        <v>276</v>
      </c>
      <c r="L68" s="5">
        <f>_xlfn.XLOOKUP(TB_Kochi[[#This Row],[MIS_Group1]],PL_Consol!B:B,PL_Consol!C:C)</f>
        <v>10</v>
      </c>
      <c r="M68" s="16">
        <v>3340</v>
      </c>
      <c r="N68" s="16">
        <v>640823.04000000004</v>
      </c>
      <c r="O68" s="16">
        <v>434671</v>
      </c>
      <c r="P68" s="16">
        <v>750371.5</v>
      </c>
      <c r="Q68" s="16">
        <v>-223568.83</v>
      </c>
      <c r="R68" s="16">
        <v>424692</v>
      </c>
      <c r="S68" s="16">
        <v>509411.89</v>
      </c>
      <c r="T68" s="16">
        <v>593157.92000000004</v>
      </c>
      <c r="U68" s="16">
        <v>581118.80000000005</v>
      </c>
      <c r="V68" s="17">
        <v>602957.06000000006</v>
      </c>
      <c r="W68" s="17">
        <v>729394.58</v>
      </c>
      <c r="X68" s="17">
        <v>1521977.32</v>
      </c>
      <c r="Y68" s="17">
        <f>SUM(TB_Kochi[[#This Row],[Apr]:[Mar]])</f>
        <v>6568346.2800000012</v>
      </c>
      <c r="Z68" s="89">
        <v>6568346.2800000003</v>
      </c>
      <c r="AA68" s="17">
        <v>561562.6</v>
      </c>
      <c r="AB68" s="17">
        <f>IFERROR(_xlfn.XLOOKUP(TB_Kochi[[#This Row],[Description]],[1]trialbalancePDS.rpt!$K$1:$K$65536,[1]trialbalancePDS.rpt!$J$1:$J$65536,0),0)</f>
        <v>724516.58</v>
      </c>
      <c r="AC68" s="17"/>
    </row>
    <row r="69" spans="2:29" x14ac:dyDescent="0.3">
      <c r="B69" s="5" t="s">
        <v>114</v>
      </c>
      <c r="C69" s="5" t="s">
        <v>2</v>
      </c>
      <c r="D69" s="5" t="s">
        <v>198</v>
      </c>
      <c r="E69" s="5" t="s">
        <v>25</v>
      </c>
      <c r="F69" s="5" t="s">
        <v>55</v>
      </c>
      <c r="G69" s="5" t="s">
        <v>56</v>
      </c>
      <c r="H69" s="5" t="s">
        <v>56</v>
      </c>
      <c r="I69" s="5" t="s">
        <v>511</v>
      </c>
      <c r="J69" s="5" t="s">
        <v>204</v>
      </c>
      <c r="K69" s="5" t="s">
        <v>277</v>
      </c>
      <c r="L69" s="5">
        <f>_xlfn.XLOOKUP(TB_Kochi[[#This Row],[MIS_Group1]],PL_Consol!B:B,PL_Consol!C:C)</f>
        <v>29</v>
      </c>
      <c r="M69" s="16">
        <v>26046.44</v>
      </c>
      <c r="N69" s="16">
        <v>544122.37</v>
      </c>
      <c r="O69" s="16">
        <v>716760.03</v>
      </c>
      <c r="P69" s="16">
        <v>713601.98</v>
      </c>
      <c r="Q69" s="16">
        <v>704423.33</v>
      </c>
      <c r="R69" s="16">
        <v>625729.11</v>
      </c>
      <c r="S69" s="16">
        <v>245759.41</v>
      </c>
      <c r="T69" s="16">
        <v>303699.59999999998</v>
      </c>
      <c r="U69" s="16">
        <v>239015.15</v>
      </c>
      <c r="V69" s="17">
        <v>244811.64</v>
      </c>
      <c r="W69" s="17">
        <v>219096.25</v>
      </c>
      <c r="X69" s="17">
        <v>146529.20000000001</v>
      </c>
      <c r="Y69" s="17">
        <f>SUM(TB_Kochi[[#This Row],[Apr]:[Mar]])</f>
        <v>4729594.51</v>
      </c>
      <c r="Z69" s="89">
        <v>4729594.51</v>
      </c>
      <c r="AA69" s="17">
        <v>156969.51</v>
      </c>
      <c r="AB69" s="17">
        <f>IFERROR(_xlfn.XLOOKUP(TB_Kochi[[#This Row],[Description]],[1]trialbalancePDS.rpt!$K$1:$K$65536,[1]trialbalancePDS.rpt!$J$1:$J$65536,0),0)</f>
        <v>193318.97</v>
      </c>
      <c r="AC69" s="17"/>
    </row>
    <row r="70" spans="2:29" x14ac:dyDescent="0.3">
      <c r="B70" s="5" t="s">
        <v>56</v>
      </c>
      <c r="C70" s="5" t="s">
        <v>2</v>
      </c>
      <c r="D70" s="5" t="s">
        <v>198</v>
      </c>
      <c r="E70" s="5" t="s">
        <v>25</v>
      </c>
      <c r="F70" s="5" t="s">
        <v>55</v>
      </c>
      <c r="G70" s="5" t="s">
        <v>56</v>
      </c>
      <c r="H70" s="5" t="s">
        <v>56</v>
      </c>
      <c r="I70" s="5" t="s">
        <v>511</v>
      </c>
      <c r="J70" s="5" t="s">
        <v>204</v>
      </c>
      <c r="K70" s="5" t="s">
        <v>277</v>
      </c>
      <c r="L70" s="5">
        <f>_xlfn.XLOOKUP(TB_Kochi[[#This Row],[MIS_Group1]],PL_Consol!B:B,PL_Consol!C:C)</f>
        <v>29</v>
      </c>
      <c r="M70" s="16">
        <v>8847.18</v>
      </c>
      <c r="N70" s="16">
        <v>19185.259999999998</v>
      </c>
      <c r="O70" s="16">
        <v>16358.13</v>
      </c>
      <c r="P70" s="16">
        <v>12670.34</v>
      </c>
      <c r="Q70" s="16">
        <v>11275.89</v>
      </c>
      <c r="R70" s="16">
        <v>23026.87</v>
      </c>
      <c r="S70" s="16">
        <v>12023.75</v>
      </c>
      <c r="T70" s="16">
        <v>20596.71</v>
      </c>
      <c r="U70" s="16">
        <v>22232.959999999999</v>
      </c>
      <c r="V70" s="17">
        <v>20285.78</v>
      </c>
      <c r="W70" s="17">
        <v>19986.5</v>
      </c>
      <c r="X70" s="17">
        <v>380644.94</v>
      </c>
      <c r="Y70" s="17">
        <f>SUM(TB_Kochi[[#This Row],[Apr]:[Mar]])</f>
        <v>567134.31000000006</v>
      </c>
      <c r="Z70" s="89">
        <v>567134.31000000006</v>
      </c>
      <c r="AA70" s="17">
        <v>18591.77</v>
      </c>
      <c r="AB70" s="17">
        <f>IFERROR(_xlfn.XLOOKUP(TB_Kochi[[#This Row],[Description]],[1]trialbalancePDS.rpt!$K$1:$K$65536,[1]trialbalancePDS.rpt!$J$1:$J$65536,0),0)</f>
        <v>22522.62</v>
      </c>
      <c r="AC70" s="17"/>
    </row>
    <row r="71" spans="2:29" x14ac:dyDescent="0.3">
      <c r="B71" s="5" t="s">
        <v>115</v>
      </c>
      <c r="C71" s="5" t="s">
        <v>2</v>
      </c>
      <c r="D71" s="5" t="s">
        <v>198</v>
      </c>
      <c r="E71" s="5" t="s">
        <v>25</v>
      </c>
      <c r="F71" s="5" t="s">
        <v>55</v>
      </c>
      <c r="G71" s="5" t="s">
        <v>56</v>
      </c>
      <c r="H71" s="5" t="s">
        <v>56</v>
      </c>
      <c r="I71" s="5" t="s">
        <v>511</v>
      </c>
      <c r="J71" s="5" t="s">
        <v>204</v>
      </c>
      <c r="K71" s="5" t="s">
        <v>277</v>
      </c>
      <c r="L71" s="5">
        <f>_xlfn.XLOOKUP(TB_Kochi[[#This Row],[MIS_Group1]],PL_Consol!B:B,PL_Consol!C:C)</f>
        <v>29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7">
        <v>0</v>
      </c>
      <c r="W71" s="17">
        <v>0</v>
      </c>
      <c r="X71" s="17">
        <v>0</v>
      </c>
      <c r="Y71" s="17">
        <f>SUM(TB_Kochi[[#This Row],[Apr]:[Mar]])</f>
        <v>0</v>
      </c>
      <c r="Z71" s="89">
        <v>0</v>
      </c>
      <c r="AA71" s="17">
        <v>0</v>
      </c>
      <c r="AB71" s="17">
        <f>IFERROR(_xlfn.XLOOKUP(TB_Kochi[[#This Row],[Description]],[1]trialbalancePDS.rpt!$K$1:$K$65536,[1]trialbalancePDS.rpt!$J$1:$J$65536,0),0)</f>
        <v>0</v>
      </c>
      <c r="AC71" s="17"/>
    </row>
    <row r="72" spans="2:29" x14ac:dyDescent="0.3">
      <c r="B72" s="5" t="s">
        <v>116</v>
      </c>
      <c r="C72" s="5" t="s">
        <v>2</v>
      </c>
      <c r="D72" s="5" t="s">
        <v>198</v>
      </c>
      <c r="E72" s="5" t="s">
        <v>25</v>
      </c>
      <c r="F72" s="5" t="s">
        <v>42</v>
      </c>
      <c r="G72" s="5" t="s">
        <v>54</v>
      </c>
      <c r="H72" s="5" t="s">
        <v>116</v>
      </c>
      <c r="I72" s="5" t="s">
        <v>511</v>
      </c>
      <c r="J72" s="5" t="s">
        <v>278</v>
      </c>
      <c r="K72" s="5" t="s">
        <v>279</v>
      </c>
      <c r="L72" s="5">
        <f>_xlfn.XLOOKUP(TB_Kochi[[#This Row],[MIS_Group1]],PL_Consol!B:B,PL_Consol!C:C)</f>
        <v>11</v>
      </c>
      <c r="M72" s="16">
        <v>2000</v>
      </c>
      <c r="N72" s="16">
        <v>174397</v>
      </c>
      <c r="O72" s="16">
        <v>287024</v>
      </c>
      <c r="P72" s="16">
        <v>119626</v>
      </c>
      <c r="Q72" s="16">
        <v>166418</v>
      </c>
      <c r="R72" s="16">
        <v>135143</v>
      </c>
      <c r="S72" s="16">
        <v>1244114</v>
      </c>
      <c r="T72" s="16">
        <v>184637</v>
      </c>
      <c r="U72" s="16">
        <v>97872</v>
      </c>
      <c r="V72" s="17">
        <v>109885</v>
      </c>
      <c r="W72" s="17">
        <v>1261372</v>
      </c>
      <c r="X72" s="17">
        <v>284270</v>
      </c>
      <c r="Y72" s="17">
        <f>SUM(TB_Kochi[[#This Row],[Apr]:[Mar]])</f>
        <v>4066758</v>
      </c>
      <c r="Z72" s="89">
        <v>4066758</v>
      </c>
      <c r="AA72" s="17">
        <v>133500</v>
      </c>
      <c r="AB72" s="17">
        <f>IFERROR(_xlfn.XLOOKUP(TB_Kochi[[#This Row],[Description]],[1]trialbalancePDS.rpt!$K$1:$K$65536,[1]trialbalancePDS.rpt!$J$1:$J$65536,0),0)</f>
        <v>733728</v>
      </c>
      <c r="AC72" s="17"/>
    </row>
    <row r="73" spans="2:29" x14ac:dyDescent="0.3">
      <c r="B73" s="5" t="s">
        <v>117</v>
      </c>
      <c r="C73" s="5" t="s">
        <v>2</v>
      </c>
      <c r="D73" s="5" t="s">
        <v>198</v>
      </c>
      <c r="E73" s="5" t="s">
        <v>25</v>
      </c>
      <c r="F73" s="5" t="s">
        <v>42</v>
      </c>
      <c r="G73" s="5" t="s">
        <v>54</v>
      </c>
      <c r="H73" s="5" t="s">
        <v>118</v>
      </c>
      <c r="I73" s="5" t="s">
        <v>511</v>
      </c>
      <c r="J73" s="5" t="s">
        <v>278</v>
      </c>
      <c r="K73" s="5" t="s">
        <v>280</v>
      </c>
      <c r="L73" s="5">
        <f>_xlfn.XLOOKUP(TB_Kochi[[#This Row],[MIS_Group1]],PL_Consol!B:B,PL_Consol!C:C)</f>
        <v>11</v>
      </c>
      <c r="M73" s="16">
        <v>0</v>
      </c>
      <c r="N73" s="16">
        <v>75096</v>
      </c>
      <c r="O73" s="16">
        <v>176636</v>
      </c>
      <c r="P73" s="16">
        <v>83342</v>
      </c>
      <c r="Q73" s="16">
        <v>99137</v>
      </c>
      <c r="R73" s="16">
        <v>61618</v>
      </c>
      <c r="S73" s="16">
        <v>97000</v>
      </c>
      <c r="T73" s="16">
        <v>88585</v>
      </c>
      <c r="U73" s="16">
        <v>115035</v>
      </c>
      <c r="V73" s="17">
        <v>91825</v>
      </c>
      <c r="W73" s="17">
        <v>49875</v>
      </c>
      <c r="X73" s="17">
        <v>318517.3</v>
      </c>
      <c r="Y73" s="17">
        <f>SUM(TB_Kochi[[#This Row],[Apr]:[Mar]])</f>
        <v>1256666.3</v>
      </c>
      <c r="Z73" s="89">
        <v>1256666.3</v>
      </c>
      <c r="AA73" s="17">
        <v>96751</v>
      </c>
      <c r="AB73" s="17">
        <f>IFERROR(_xlfn.XLOOKUP(TB_Kochi[[#This Row],[Description]],[1]trialbalancePDS.rpt!$K$1:$K$65536,[1]trialbalancePDS.rpt!$J$1:$J$65536,0),0)</f>
        <v>98730</v>
      </c>
      <c r="AC73" s="17"/>
    </row>
    <row r="74" spans="2:29" x14ac:dyDescent="0.3">
      <c r="B74" s="5" t="s">
        <v>118</v>
      </c>
      <c r="C74" s="5" t="s">
        <v>2</v>
      </c>
      <c r="D74" s="5" t="s">
        <v>198</v>
      </c>
      <c r="E74" s="5" t="s">
        <v>25</v>
      </c>
      <c r="F74" s="5" t="s">
        <v>42</v>
      </c>
      <c r="G74" s="5" t="s">
        <v>54</v>
      </c>
      <c r="H74" s="5" t="s">
        <v>118</v>
      </c>
      <c r="I74" s="5" t="s">
        <v>511</v>
      </c>
      <c r="J74" s="5" t="s">
        <v>278</v>
      </c>
      <c r="K74" s="5" t="s">
        <v>280</v>
      </c>
      <c r="L74" s="5">
        <f>_xlfn.XLOOKUP(TB_Kochi[[#This Row],[MIS_Group1]],PL_Consol!B:B,PL_Consol!C:C)</f>
        <v>11</v>
      </c>
      <c r="M74" s="16">
        <v>678628</v>
      </c>
      <c r="N74" s="16">
        <v>8400</v>
      </c>
      <c r="O74" s="16">
        <v>1155211</v>
      </c>
      <c r="P74" s="16">
        <v>1148903</v>
      </c>
      <c r="Q74" s="16">
        <v>-38718</v>
      </c>
      <c r="R74" s="16">
        <v>901552</v>
      </c>
      <c r="S74" s="16">
        <v>545758</v>
      </c>
      <c r="T74" s="16">
        <v>292070</v>
      </c>
      <c r="U74" s="16">
        <v>1022550</v>
      </c>
      <c r="V74" s="17">
        <v>1596236</v>
      </c>
      <c r="W74" s="17">
        <v>-265702</v>
      </c>
      <c r="X74" s="17">
        <v>1212280</v>
      </c>
      <c r="Y74" s="17">
        <f>SUM(TB_Kochi[[#This Row],[Apr]:[Mar]])</f>
        <v>8257168</v>
      </c>
      <c r="Z74" s="89">
        <v>8257168</v>
      </c>
      <c r="AA74" s="17">
        <v>1039485</v>
      </c>
      <c r="AB74" s="17">
        <f>IFERROR(_xlfn.XLOOKUP(TB_Kochi[[#This Row],[Description]],[1]trialbalancePDS.rpt!$K$1:$K$65536,[1]trialbalancePDS.rpt!$J$1:$J$65536,0),0)</f>
        <v>0</v>
      </c>
      <c r="AC74" s="17"/>
    </row>
    <row r="75" spans="2:29" x14ac:dyDescent="0.3">
      <c r="B75" s="5" t="s">
        <v>119</v>
      </c>
      <c r="C75" s="5" t="s">
        <v>2</v>
      </c>
      <c r="D75" s="5" t="s">
        <v>198</v>
      </c>
      <c r="E75" s="5" t="s">
        <v>25</v>
      </c>
      <c r="F75" s="5" t="s">
        <v>42</v>
      </c>
      <c r="G75" s="5" t="s">
        <v>54</v>
      </c>
      <c r="H75" s="5" t="s">
        <v>119</v>
      </c>
      <c r="I75" s="5" t="s">
        <v>511</v>
      </c>
      <c r="J75" s="5" t="s">
        <v>278</v>
      </c>
      <c r="K75" s="5" t="s">
        <v>281</v>
      </c>
      <c r="L75" s="5">
        <f>_xlfn.XLOOKUP(TB_Kochi[[#This Row],[MIS_Group1]],PL_Consol!B:B,PL_Consol!C:C)</f>
        <v>11</v>
      </c>
      <c r="M75" s="16">
        <v>8058378</v>
      </c>
      <c r="N75" s="16">
        <v>8627215</v>
      </c>
      <c r="O75" s="16">
        <v>7667083</v>
      </c>
      <c r="P75" s="16">
        <v>7860449</v>
      </c>
      <c r="Q75" s="16">
        <v>8065431</v>
      </c>
      <c r="R75" s="16">
        <v>8116747</v>
      </c>
      <c r="S75" s="16">
        <v>8254478</v>
      </c>
      <c r="T75" s="16">
        <v>7664739</v>
      </c>
      <c r="U75" s="16">
        <v>7942409</v>
      </c>
      <c r="V75" s="17">
        <v>8082751</v>
      </c>
      <c r="W75" s="17">
        <v>7490365</v>
      </c>
      <c r="X75" s="17">
        <v>8817895</v>
      </c>
      <c r="Y75" s="17">
        <f>SUM(TB_Kochi[[#This Row],[Apr]:[Mar]])</f>
        <v>96647940</v>
      </c>
      <c r="Z75" s="89">
        <v>96647940</v>
      </c>
      <c r="AA75" s="17">
        <v>8846243</v>
      </c>
      <c r="AB75" s="17">
        <f>IFERROR(_xlfn.XLOOKUP(TB_Kochi[[#This Row],[Description]],[1]trialbalancePDS.rpt!$K$1:$K$65536,[1]trialbalancePDS.rpt!$J$1:$J$65536,0),0)</f>
        <v>8830292</v>
      </c>
      <c r="AC75" s="17"/>
    </row>
    <row r="76" spans="2:29" x14ac:dyDescent="0.3">
      <c r="B76" s="5" t="s">
        <v>120</v>
      </c>
      <c r="C76" s="5" t="s">
        <v>2</v>
      </c>
      <c r="D76" s="5" t="s">
        <v>198</v>
      </c>
      <c r="E76" s="5" t="s">
        <v>25</v>
      </c>
      <c r="F76" s="5" t="s">
        <v>42</v>
      </c>
      <c r="G76" s="5" t="s">
        <v>54</v>
      </c>
      <c r="H76" s="5" t="s">
        <v>119</v>
      </c>
      <c r="I76" s="5" t="s">
        <v>511</v>
      </c>
      <c r="J76" s="5" t="s">
        <v>278</v>
      </c>
      <c r="K76" s="5" t="s">
        <v>281</v>
      </c>
      <c r="L76" s="5">
        <f>_xlfn.XLOOKUP(TB_Kochi[[#This Row],[MIS_Group1]],PL_Consol!B:B,PL_Consol!C:C)</f>
        <v>11</v>
      </c>
      <c r="M76" s="16">
        <v>0</v>
      </c>
      <c r="N76" s="16">
        <v>512478</v>
      </c>
      <c r="O76" s="16">
        <v>1082665</v>
      </c>
      <c r="P76" s="16">
        <v>412390</v>
      </c>
      <c r="Q76" s="16">
        <v>667633</v>
      </c>
      <c r="R76" s="16">
        <v>422876</v>
      </c>
      <c r="S76" s="16">
        <v>622281</v>
      </c>
      <c r="T76" s="16">
        <v>481958</v>
      </c>
      <c r="U76" s="16">
        <v>547446</v>
      </c>
      <c r="V76" s="17">
        <v>471128</v>
      </c>
      <c r="W76" s="17">
        <v>441394</v>
      </c>
      <c r="X76" s="17">
        <v>1421572</v>
      </c>
      <c r="Y76" s="17">
        <f>SUM(TB_Kochi[[#This Row],[Apr]:[Mar]])</f>
        <v>7083821</v>
      </c>
      <c r="Z76" s="89">
        <v>7083821</v>
      </c>
      <c r="AA76" s="17">
        <v>601735</v>
      </c>
      <c r="AB76" s="17">
        <f>IFERROR(_xlfn.XLOOKUP(TB_Kochi[[#This Row],[Description]],[1]trialbalancePDS.rpt!$K$1:$K$65536,[1]trialbalancePDS.rpt!$J$1:$J$65536,0),0)</f>
        <v>615478</v>
      </c>
      <c r="AC76" s="17"/>
    </row>
    <row r="77" spans="2:29" x14ac:dyDescent="0.3">
      <c r="B77" s="5" t="s">
        <v>121</v>
      </c>
      <c r="C77" s="5" t="s">
        <v>2</v>
      </c>
      <c r="D77" s="5" t="s">
        <v>198</v>
      </c>
      <c r="E77" s="5" t="s">
        <v>25</v>
      </c>
      <c r="F77" s="5" t="s">
        <v>42</v>
      </c>
      <c r="G77" s="5" t="s">
        <v>54</v>
      </c>
      <c r="H77" s="5" t="s">
        <v>119</v>
      </c>
      <c r="I77" s="5" t="s">
        <v>511</v>
      </c>
      <c r="J77" s="5" t="s">
        <v>302</v>
      </c>
      <c r="K77" s="5" t="s">
        <v>282</v>
      </c>
      <c r="L77" s="5">
        <f>_xlfn.XLOOKUP(TB_Kochi[[#This Row],[MIS_Group1]],PL_Consol!B:B,PL_Consol!C:C)</f>
        <v>21</v>
      </c>
      <c r="M77" s="16">
        <v>30000</v>
      </c>
      <c r="N77" s="16">
        <v>35000</v>
      </c>
      <c r="O77" s="16">
        <v>222000</v>
      </c>
      <c r="P77" s="16">
        <v>281000</v>
      </c>
      <c r="Q77" s="16">
        <v>50000</v>
      </c>
      <c r="R77" s="16">
        <v>20000</v>
      </c>
      <c r="S77" s="16">
        <v>45000</v>
      </c>
      <c r="T77" s="16">
        <v>197500</v>
      </c>
      <c r="U77" s="16">
        <v>50000</v>
      </c>
      <c r="V77" s="17">
        <v>64500</v>
      </c>
      <c r="W77" s="17">
        <v>202000</v>
      </c>
      <c r="X77" s="17">
        <v>266000</v>
      </c>
      <c r="Y77" s="17">
        <f>SUM(TB_Kochi[[#This Row],[Apr]:[Mar]])</f>
        <v>1463000</v>
      </c>
      <c r="Z77" s="89">
        <v>1463000</v>
      </c>
      <c r="AA77" s="17">
        <v>40000</v>
      </c>
      <c r="AB77" s="17">
        <f>IFERROR(_xlfn.XLOOKUP(TB_Kochi[[#This Row],[Description]],[1]trialbalancePDS.rpt!$K$1:$K$65536,[1]trialbalancePDS.rpt!$J$1:$J$65536,0),0)</f>
        <v>40000</v>
      </c>
      <c r="AC77" s="17"/>
    </row>
    <row r="78" spans="2:29" x14ac:dyDescent="0.3">
      <c r="B78" s="5" t="s">
        <v>122</v>
      </c>
      <c r="C78" s="5" t="s">
        <v>2</v>
      </c>
      <c r="D78" s="5" t="s">
        <v>198</v>
      </c>
      <c r="E78" s="5" t="s">
        <v>25</v>
      </c>
      <c r="F78" s="5" t="s">
        <v>42</v>
      </c>
      <c r="G78" s="5" t="s">
        <v>53</v>
      </c>
      <c r="H78" s="5" t="s">
        <v>122</v>
      </c>
      <c r="I78" s="5" t="s">
        <v>511</v>
      </c>
      <c r="J78" s="5" t="s">
        <v>205</v>
      </c>
      <c r="K78" s="5" t="s">
        <v>283</v>
      </c>
      <c r="L78" s="5">
        <f>_xlfn.XLOOKUP(TB_Kochi[[#This Row],[MIS_Group1]],PL_Consol!B:B,PL_Consol!C:C)</f>
        <v>9</v>
      </c>
      <c r="M78" s="16">
        <v>41195051</v>
      </c>
      <c r="N78" s="16">
        <v>42280097</v>
      </c>
      <c r="O78" s="16">
        <v>41950367</v>
      </c>
      <c r="P78" s="16">
        <v>43193346</v>
      </c>
      <c r="Q78" s="16">
        <v>43745437</v>
      </c>
      <c r="R78" s="16">
        <v>43178866</v>
      </c>
      <c r="S78" s="16">
        <v>44430620</v>
      </c>
      <c r="T78" s="16">
        <v>44186088</v>
      </c>
      <c r="U78" s="16">
        <v>45171873</v>
      </c>
      <c r="V78" s="17">
        <v>44408810</v>
      </c>
      <c r="W78" s="17">
        <v>44636445</v>
      </c>
      <c r="X78" s="17">
        <v>47050017</v>
      </c>
      <c r="Y78" s="17">
        <f>SUM(TB_Kochi[[#This Row],[Apr]:[Mar]])</f>
        <v>525427017</v>
      </c>
      <c r="Z78" s="89">
        <v>525427017</v>
      </c>
      <c r="AA78" s="17">
        <v>46828768</v>
      </c>
      <c r="AB78" s="17">
        <f>IFERROR(_xlfn.XLOOKUP(TB_Kochi[[#This Row],[Description]],[1]trialbalancePDS.rpt!$K$1:$K$65536,[1]trialbalancePDS.rpt!$J$1:$J$65536,0),0)</f>
        <v>47304507</v>
      </c>
      <c r="AC78" s="17"/>
    </row>
    <row r="79" spans="2:29" x14ac:dyDescent="0.3">
      <c r="B79" s="5" t="s">
        <v>123</v>
      </c>
      <c r="C79" s="5" t="s">
        <v>2</v>
      </c>
      <c r="D79" s="5" t="s">
        <v>198</v>
      </c>
      <c r="E79" s="5" t="s">
        <v>25</v>
      </c>
      <c r="F79" s="5" t="s">
        <v>42</v>
      </c>
      <c r="G79" s="5" t="s">
        <v>53</v>
      </c>
      <c r="H79" s="5" t="s">
        <v>123</v>
      </c>
      <c r="I79" s="5" t="s">
        <v>511</v>
      </c>
      <c r="J79" s="5" t="s">
        <v>205</v>
      </c>
      <c r="K79" s="5" t="s">
        <v>284</v>
      </c>
      <c r="L79" s="5">
        <f>_xlfn.XLOOKUP(TB_Kochi[[#This Row],[MIS_Group1]],PL_Consol!B:B,PL_Consol!C:C)</f>
        <v>9</v>
      </c>
      <c r="M79" s="16">
        <v>8343987</v>
      </c>
      <c r="N79" s="16">
        <v>8032899</v>
      </c>
      <c r="O79" s="16">
        <v>8552436</v>
      </c>
      <c r="P79" s="16">
        <v>11797172</v>
      </c>
      <c r="Q79" s="16">
        <v>11515585</v>
      </c>
      <c r="R79" s="16">
        <v>11363072</v>
      </c>
      <c r="S79" s="16">
        <v>11032703</v>
      </c>
      <c r="T79" s="16">
        <v>10213404</v>
      </c>
      <c r="U79" s="17">
        <v>10754534</v>
      </c>
      <c r="V79" s="17">
        <v>13378639</v>
      </c>
      <c r="W79" s="17">
        <v>11486289</v>
      </c>
      <c r="X79" s="17">
        <v>11086289</v>
      </c>
      <c r="Y79" s="17">
        <f>SUM(TB_Kochi[[#This Row],[Apr]:[Mar]])</f>
        <v>127557009</v>
      </c>
      <c r="Z79" s="89">
        <v>115559884.23</v>
      </c>
      <c r="AA79" s="17">
        <v>12400186</v>
      </c>
      <c r="AB79" s="17">
        <f>IFERROR(_xlfn.XLOOKUP(TB_Kochi[[#This Row],[Description]],[1]trialbalancePDS.rpt!$K$1:$K$65536,[1]trialbalancePDS.rpt!$J$1:$J$65536,0),0)</f>
        <v>9917945</v>
      </c>
      <c r="AC79" s="17"/>
    </row>
    <row r="80" spans="2:29" x14ac:dyDescent="0.3">
      <c r="B80" s="5" t="s">
        <v>124</v>
      </c>
      <c r="C80" s="5" t="s">
        <v>2</v>
      </c>
      <c r="D80" s="5" t="s">
        <v>198</v>
      </c>
      <c r="E80" s="5" t="s">
        <v>25</v>
      </c>
      <c r="F80" s="5" t="s">
        <v>42</v>
      </c>
      <c r="G80" s="5" t="s">
        <v>53</v>
      </c>
      <c r="H80" s="5" t="s">
        <v>239</v>
      </c>
      <c r="I80" s="5" t="s">
        <v>511</v>
      </c>
      <c r="J80" s="5" t="s">
        <v>205</v>
      </c>
      <c r="K80" s="5" t="s">
        <v>285</v>
      </c>
      <c r="L80" s="5">
        <f>_xlfn.XLOOKUP(TB_Kochi[[#This Row],[MIS_Group1]],PL_Consol!B:B,PL_Consol!C:C)</f>
        <v>9</v>
      </c>
      <c r="M80" s="16">
        <v>6472057</v>
      </c>
      <c r="N80" s="16">
        <v>5955009</v>
      </c>
      <c r="O80" s="16">
        <v>4185054</v>
      </c>
      <c r="P80" s="16">
        <v>6586938</v>
      </c>
      <c r="Q80" s="16">
        <v>5878413</v>
      </c>
      <c r="R80" s="16">
        <v>6763068</v>
      </c>
      <c r="S80" s="16">
        <v>4393788</v>
      </c>
      <c r="T80" s="16">
        <v>5763510</v>
      </c>
      <c r="U80" s="17">
        <v>5590329</v>
      </c>
      <c r="V80" s="17">
        <v>5442198</v>
      </c>
      <c r="W80" s="17">
        <v>5561987</v>
      </c>
      <c r="X80" s="17">
        <v>5000000</v>
      </c>
      <c r="Y80" s="17">
        <f>SUM(TB_Kochi[[#This Row],[Apr]:[Mar]])</f>
        <v>67592351</v>
      </c>
      <c r="Z80" s="89">
        <v>65157301</v>
      </c>
      <c r="AA80" s="17">
        <v>5572804</v>
      </c>
      <c r="AB80" s="17">
        <f>IFERROR(_xlfn.XLOOKUP(TB_Kochi[[#This Row],[Description]],[1]trialbalancePDS.rpt!$K$1:$K$65536,[1]trialbalancePDS.rpt!$J$1:$J$65536,0),0)</f>
        <v>5052625</v>
      </c>
      <c r="AC80" s="17"/>
    </row>
    <row r="81" spans="2:29" x14ac:dyDescent="0.3">
      <c r="B81" s="5" t="s">
        <v>125</v>
      </c>
      <c r="C81" s="5" t="s">
        <v>2</v>
      </c>
      <c r="D81" s="5" t="s">
        <v>198</v>
      </c>
      <c r="E81" s="5" t="s">
        <v>25</v>
      </c>
      <c r="F81" s="5" t="s">
        <v>42</v>
      </c>
      <c r="G81" s="5" t="s">
        <v>52</v>
      </c>
      <c r="H81" s="5" t="s">
        <v>52</v>
      </c>
      <c r="I81" s="5" t="s">
        <v>511</v>
      </c>
      <c r="J81" s="5" t="s">
        <v>534</v>
      </c>
      <c r="K81" s="5" t="s">
        <v>286</v>
      </c>
      <c r="L81" s="5">
        <f>_xlfn.XLOOKUP(TB_Kochi[[#This Row],[MIS_Group1]],PL_Consol!B:B,PL_Consol!C:C)</f>
        <v>16</v>
      </c>
      <c r="M81" s="16">
        <v>5931925.5</v>
      </c>
      <c r="N81" s="16">
        <v>5974686.1699999999</v>
      </c>
      <c r="O81" s="16">
        <v>5931925.5</v>
      </c>
      <c r="P81" s="16">
        <v>6035800.8399999999</v>
      </c>
      <c r="Q81" s="16">
        <v>5780186.46</v>
      </c>
      <c r="R81" s="16">
        <v>5267651.93</v>
      </c>
      <c r="S81" s="16">
        <v>7408077.8799999999</v>
      </c>
      <c r="T81" s="16">
        <v>5111914.6399999997</v>
      </c>
      <c r="U81" s="16">
        <v>5442780.6099999994</v>
      </c>
      <c r="V81" s="17">
        <v>3047736.0500000007</v>
      </c>
      <c r="W81" s="17">
        <v>10389185.630000001</v>
      </c>
      <c r="X81" s="17">
        <v>15253380.609999999</v>
      </c>
      <c r="Y81" s="17">
        <f>SUM(TB_Kochi[[#This Row],[Apr]:[Mar]])</f>
        <v>81575251.820000023</v>
      </c>
      <c r="Z81" s="89">
        <v>81990664.069999993</v>
      </c>
      <c r="AA81" s="17">
        <v>7111003.7100000009</v>
      </c>
      <c r="AB81" s="17">
        <f>IFERROR(_xlfn.XLOOKUP(TB_Kochi[[#This Row],[Description]],[1]trialbalancePDS.rpt!$K$1:$K$65536,[1]trialbalancePDS.rpt!$J$1:$J$65536,0),0)</f>
        <v>10148399.030000001</v>
      </c>
      <c r="AC81" s="17"/>
    </row>
    <row r="82" spans="2:29" x14ac:dyDescent="0.3">
      <c r="B82" s="5" t="s">
        <v>126</v>
      </c>
      <c r="C82" s="5" t="s">
        <v>2</v>
      </c>
      <c r="D82" s="5" t="s">
        <v>198</v>
      </c>
      <c r="E82" s="5" t="s">
        <v>25</v>
      </c>
      <c r="F82" s="5" t="s">
        <v>42</v>
      </c>
      <c r="G82" s="5" t="s">
        <v>52</v>
      </c>
      <c r="H82" s="5" t="s">
        <v>52</v>
      </c>
      <c r="I82" s="5" t="s">
        <v>511</v>
      </c>
      <c r="J82" s="5" t="s">
        <v>534</v>
      </c>
      <c r="K82" s="5" t="s">
        <v>287</v>
      </c>
      <c r="L82" s="5">
        <f>_xlfn.XLOOKUP(TB_Kochi[[#This Row],[MIS_Group1]],PL_Consol!B:B,PL_Consol!C:C)</f>
        <v>16</v>
      </c>
      <c r="M82" s="16">
        <v>384402.5</v>
      </c>
      <c r="N82" s="16">
        <v>762732</v>
      </c>
      <c r="O82" s="16">
        <v>768805</v>
      </c>
      <c r="P82" s="16">
        <v>800500</v>
      </c>
      <c r="Q82" s="16">
        <v>566669</v>
      </c>
      <c r="R82" s="16">
        <v>1271890</v>
      </c>
      <c r="S82" s="16">
        <v>521736</v>
      </c>
      <c r="T82" s="16">
        <v>802278</v>
      </c>
      <c r="U82" s="16">
        <v>638985</v>
      </c>
      <c r="V82" s="17">
        <v>1039688</v>
      </c>
      <c r="W82" s="17">
        <v>835005.25</v>
      </c>
      <c r="X82" s="17">
        <v>1834163.8199999998</v>
      </c>
      <c r="Y82" s="17">
        <f>SUM(TB_Kochi[[#This Row],[Apr]:[Mar]])</f>
        <v>10226854.57</v>
      </c>
      <c r="Z82" s="89">
        <v>10611257.07</v>
      </c>
      <c r="AA82" s="17">
        <v>1017907</v>
      </c>
      <c r="AB82" s="17">
        <f>IFERROR(_xlfn.XLOOKUP(TB_Kochi[[#This Row],[Description]],[1]trialbalancePDS.rpt!$K$1:$K$65536,[1]trialbalancePDS.rpt!$J$1:$J$65536,0),0)</f>
        <v>873319</v>
      </c>
      <c r="AC82" s="17"/>
    </row>
    <row r="83" spans="2:29" x14ac:dyDescent="0.3">
      <c r="B83" s="5" t="s">
        <v>127</v>
      </c>
      <c r="C83" s="5" t="s">
        <v>2</v>
      </c>
      <c r="D83" s="5" t="s">
        <v>198</v>
      </c>
      <c r="E83" s="5" t="s">
        <v>25</v>
      </c>
      <c r="F83" s="5" t="s">
        <v>42</v>
      </c>
      <c r="G83" s="5" t="s">
        <v>52</v>
      </c>
      <c r="H83" s="5" t="s">
        <v>52</v>
      </c>
      <c r="I83" s="5" t="s">
        <v>511</v>
      </c>
      <c r="J83" s="5" t="s">
        <v>534</v>
      </c>
      <c r="K83" s="5" t="s">
        <v>286</v>
      </c>
      <c r="L83" s="5">
        <f>_xlfn.XLOOKUP(TB_Kochi[[#This Row],[MIS_Group1]],PL_Consol!B:B,PL_Consol!C:C)</f>
        <v>16</v>
      </c>
      <c r="M83" s="16">
        <v>43000</v>
      </c>
      <c r="N83" s="16">
        <v>159616</v>
      </c>
      <c r="O83" s="16">
        <v>913023</v>
      </c>
      <c r="P83" s="16">
        <v>272791</v>
      </c>
      <c r="Q83" s="16">
        <v>116203</v>
      </c>
      <c r="R83" s="16">
        <v>701756</v>
      </c>
      <c r="S83" s="16">
        <v>603933.4</v>
      </c>
      <c r="T83" s="16">
        <v>123796</v>
      </c>
      <c r="U83" s="16">
        <v>428547</v>
      </c>
      <c r="V83" s="17">
        <v>496730</v>
      </c>
      <c r="W83" s="17">
        <v>581485</v>
      </c>
      <c r="X83" s="17">
        <v>905303.41999999993</v>
      </c>
      <c r="Y83" s="17">
        <f>SUM(TB_Kochi[[#This Row],[Apr]:[Mar]])</f>
        <v>5346183.82</v>
      </c>
      <c r="Z83" s="89">
        <v>5346183.82</v>
      </c>
      <c r="AA83" s="17">
        <v>486410</v>
      </c>
      <c r="AB83" s="17">
        <f>IFERROR(_xlfn.XLOOKUP(TB_Kochi[[#This Row],[Description]],[1]trialbalancePDS.rpt!$K$1:$K$65536,[1]trialbalancePDS.rpt!$J$1:$J$65536,0),0)</f>
        <v>90621</v>
      </c>
      <c r="AC83" s="17"/>
    </row>
    <row r="84" spans="2:29" x14ac:dyDescent="0.3">
      <c r="B84" s="5" t="s">
        <v>128</v>
      </c>
      <c r="C84" s="5" t="s">
        <v>2</v>
      </c>
      <c r="D84" s="5" t="s">
        <v>198</v>
      </c>
      <c r="E84" s="5" t="s">
        <v>25</v>
      </c>
      <c r="F84" s="5" t="s">
        <v>42</v>
      </c>
      <c r="G84" s="5" t="s">
        <v>51</v>
      </c>
      <c r="H84" s="5" t="s">
        <v>51</v>
      </c>
      <c r="I84" s="5" t="s">
        <v>511</v>
      </c>
      <c r="J84" s="5" t="s">
        <v>206</v>
      </c>
      <c r="K84" s="5" t="s">
        <v>206</v>
      </c>
      <c r="L84" s="5">
        <f>_xlfn.XLOOKUP(TB_Kochi[[#This Row],[MIS_Group1]],PL_Consol!B:B,PL_Consol!C:C)</f>
        <v>14</v>
      </c>
      <c r="M84" s="16">
        <v>1678037</v>
      </c>
      <c r="N84" s="16">
        <v>1860999</v>
      </c>
      <c r="O84" s="16">
        <v>2143226</v>
      </c>
      <c r="P84" s="16">
        <v>1837149</v>
      </c>
      <c r="Q84" s="16">
        <v>2654288</v>
      </c>
      <c r="R84" s="16">
        <v>1676926</v>
      </c>
      <c r="S84" s="16">
        <v>2278431</v>
      </c>
      <c r="T84" s="16">
        <v>921888</v>
      </c>
      <c r="U84" s="16">
        <v>3761713</v>
      </c>
      <c r="V84" s="17">
        <v>3003640.92</v>
      </c>
      <c r="W84" s="17">
        <v>2738476</v>
      </c>
      <c r="X84" s="17">
        <v>2210591</v>
      </c>
      <c r="Y84" s="17">
        <f>SUM(TB_Kochi[[#This Row],[Apr]:[Mar]])</f>
        <v>26765364.920000002</v>
      </c>
      <c r="Z84" s="89">
        <v>26395220.920000002</v>
      </c>
      <c r="AA84" s="17">
        <v>2408023</v>
      </c>
      <c r="AB84" s="17">
        <f>IFERROR(_xlfn.XLOOKUP(TB_Kochi[[#This Row],[Description]],[1]trialbalancePDS.rpt!$K$1:$K$65536,[1]trialbalancePDS.rpt!$J$1:$J$65536,0),0)</f>
        <v>2950202</v>
      </c>
      <c r="AC84" s="17"/>
    </row>
    <row r="85" spans="2:29" x14ac:dyDescent="0.3">
      <c r="B85" s="5" t="s">
        <v>129</v>
      </c>
      <c r="C85" s="5" t="s">
        <v>2</v>
      </c>
      <c r="D85" s="5" t="s">
        <v>198</v>
      </c>
      <c r="E85" s="5" t="s">
        <v>25</v>
      </c>
      <c r="F85" s="5" t="s">
        <v>42</v>
      </c>
      <c r="G85" s="5" t="s">
        <v>50</v>
      </c>
      <c r="H85" s="5" t="s">
        <v>50</v>
      </c>
      <c r="I85" s="5" t="s">
        <v>511</v>
      </c>
      <c r="J85" s="5" t="s">
        <v>288</v>
      </c>
      <c r="K85" s="5" t="s">
        <v>288</v>
      </c>
      <c r="L85" s="5">
        <f>_xlfn.XLOOKUP(TB_Kochi[[#This Row],[MIS_Group1]],PL_Consol!B:B,PL_Consol!C:C)</f>
        <v>15</v>
      </c>
      <c r="M85" s="16">
        <v>101725</v>
      </c>
      <c r="N85" s="16">
        <v>91066</v>
      </c>
      <c r="O85" s="16">
        <v>82966</v>
      </c>
      <c r="P85" s="16">
        <v>120046</v>
      </c>
      <c r="Q85" s="16">
        <v>197258</v>
      </c>
      <c r="R85" s="16">
        <v>132183</v>
      </c>
      <c r="S85" s="16">
        <v>145218</v>
      </c>
      <c r="T85" s="16">
        <v>136430</v>
      </c>
      <c r="U85" s="16">
        <v>84024</v>
      </c>
      <c r="V85" s="17">
        <v>100163</v>
      </c>
      <c r="W85" s="17">
        <v>70487</v>
      </c>
      <c r="X85" s="17">
        <v>114000</v>
      </c>
      <c r="Y85" s="17">
        <f>SUM(TB_Kochi[[#This Row],[Apr]:[Mar]])</f>
        <v>1375566</v>
      </c>
      <c r="Z85" s="89">
        <v>1304246</v>
      </c>
      <c r="AA85" s="17">
        <v>87953</v>
      </c>
      <c r="AB85" s="17">
        <f>IFERROR(_xlfn.XLOOKUP(TB_Kochi[[#This Row],[Description]],[1]trialbalancePDS.rpt!$K$1:$K$65536,[1]trialbalancePDS.rpt!$J$1:$J$65536,0),0)</f>
        <v>127629</v>
      </c>
      <c r="AC85" s="17"/>
    </row>
    <row r="86" spans="2:29" x14ac:dyDescent="0.3">
      <c r="B86" s="5" t="s">
        <v>130</v>
      </c>
      <c r="C86" s="5" t="s">
        <v>2</v>
      </c>
      <c r="D86" s="5" t="s">
        <v>198</v>
      </c>
      <c r="E86" s="5" t="s">
        <v>25</v>
      </c>
      <c r="F86" s="5" t="s">
        <v>42</v>
      </c>
      <c r="G86" s="5" t="s">
        <v>50</v>
      </c>
      <c r="H86" s="5" t="s">
        <v>50</v>
      </c>
      <c r="I86" s="5" t="s">
        <v>511</v>
      </c>
      <c r="J86" s="5" t="s">
        <v>288</v>
      </c>
      <c r="K86" s="5" t="s">
        <v>288</v>
      </c>
      <c r="L86" s="5">
        <f>_xlfn.XLOOKUP(TB_Kochi[[#This Row],[MIS_Group1]],PL_Consol!B:B,PL_Consol!C:C)</f>
        <v>15</v>
      </c>
      <c r="M86" s="16">
        <v>152787</v>
      </c>
      <c r="N86" s="16">
        <v>260944</v>
      </c>
      <c r="O86" s="16">
        <v>260944</v>
      </c>
      <c r="P86" s="16">
        <v>379280</v>
      </c>
      <c r="Q86" s="16">
        <v>161926</v>
      </c>
      <c r="R86" s="16">
        <v>231261</v>
      </c>
      <c r="S86" s="16">
        <v>75084</v>
      </c>
      <c r="T86" s="16">
        <v>120614</v>
      </c>
      <c r="U86" s="16">
        <v>210332</v>
      </c>
      <c r="V86" s="17">
        <v>166306</v>
      </c>
      <c r="W86" s="17">
        <v>267451</v>
      </c>
      <c r="X86" s="17">
        <v>670698.80000000005</v>
      </c>
      <c r="Y86" s="17">
        <f>SUM(TB_Kochi[[#This Row],[Apr]:[Mar]])</f>
        <v>2957627.8</v>
      </c>
      <c r="Z86" s="89">
        <v>2957627.8</v>
      </c>
      <c r="AA86" s="17">
        <v>182486</v>
      </c>
      <c r="AB86" s="17">
        <f>IFERROR(_xlfn.XLOOKUP(TB_Kochi[[#This Row],[Description]],[1]trialbalancePDS.rpt!$K$1:$K$65536,[1]trialbalancePDS.rpt!$J$1:$J$65536,0),0)</f>
        <v>203707</v>
      </c>
      <c r="AC86" s="17"/>
    </row>
    <row r="87" spans="2:29" x14ac:dyDescent="0.3">
      <c r="B87" s="5" t="s">
        <v>131</v>
      </c>
      <c r="C87" s="5" t="s">
        <v>2</v>
      </c>
      <c r="D87" s="5" t="s">
        <v>198</v>
      </c>
      <c r="E87" s="5" t="s">
        <v>25</v>
      </c>
      <c r="F87" s="5" t="s">
        <v>42</v>
      </c>
      <c r="G87" s="5" t="s">
        <v>50</v>
      </c>
      <c r="H87" s="5" t="s">
        <v>50</v>
      </c>
      <c r="I87" s="5" t="s">
        <v>511</v>
      </c>
      <c r="J87" s="5" t="s">
        <v>288</v>
      </c>
      <c r="K87" s="5" t="s">
        <v>288</v>
      </c>
      <c r="L87" s="5">
        <f>_xlfn.XLOOKUP(TB_Kochi[[#This Row],[MIS_Group1]],PL_Consol!B:B,PL_Consol!C:C)</f>
        <v>15</v>
      </c>
      <c r="M87" s="16">
        <v>1089527</v>
      </c>
      <c r="N87" s="16">
        <v>862735</v>
      </c>
      <c r="O87" s="16">
        <v>1089527</v>
      </c>
      <c r="P87" s="16">
        <v>263367</v>
      </c>
      <c r="Q87" s="16">
        <v>1362568</v>
      </c>
      <c r="R87" s="16">
        <v>1346557</v>
      </c>
      <c r="S87" s="16">
        <v>908683</v>
      </c>
      <c r="T87" s="16">
        <v>726954</v>
      </c>
      <c r="U87" s="16">
        <v>1160506</v>
      </c>
      <c r="V87" s="17">
        <v>962622</v>
      </c>
      <c r="W87" s="17">
        <v>901670</v>
      </c>
      <c r="X87" s="17">
        <v>1277680.2400000002</v>
      </c>
      <c r="Y87" s="17">
        <f>SUM(TB_Kochi[[#This Row],[Apr]:[Mar]])</f>
        <v>11952396.24</v>
      </c>
      <c r="Z87" s="89">
        <v>11952396.24</v>
      </c>
      <c r="AA87" s="17">
        <v>808371.68</v>
      </c>
      <c r="AB87" s="17">
        <f>IFERROR(_xlfn.XLOOKUP(TB_Kochi[[#This Row],[Description]],[1]trialbalancePDS.rpt!$K$1:$K$65536,[1]trialbalancePDS.rpt!$J$1:$J$65536,0),0)</f>
        <v>970490</v>
      </c>
      <c r="AC87" s="17"/>
    </row>
    <row r="88" spans="2:29" x14ac:dyDescent="0.3">
      <c r="B88" s="5" t="s">
        <v>132</v>
      </c>
      <c r="C88" s="5" t="s">
        <v>2</v>
      </c>
      <c r="D88" s="5" t="s">
        <v>198</v>
      </c>
      <c r="E88" s="5" t="s">
        <v>25</v>
      </c>
      <c r="F88" s="5" t="s">
        <v>42</v>
      </c>
      <c r="G88" s="5" t="s">
        <v>49</v>
      </c>
      <c r="H88" s="5" t="s">
        <v>240</v>
      </c>
      <c r="I88" s="5" t="s">
        <v>511</v>
      </c>
      <c r="J88" s="5" t="s">
        <v>289</v>
      </c>
      <c r="K88" s="5" t="s">
        <v>290</v>
      </c>
      <c r="L88" s="5">
        <f>_xlfn.XLOOKUP(TB_Kochi[[#This Row],[MIS_Group1]],PL_Consol!B:B,PL_Consol!C:C)</f>
        <v>12</v>
      </c>
      <c r="M88" s="16">
        <v>483533.98</v>
      </c>
      <c r="N88" s="16">
        <v>210329.37</v>
      </c>
      <c r="O88" s="16">
        <v>649982.96</v>
      </c>
      <c r="P88" s="16">
        <v>384908.17</v>
      </c>
      <c r="Q88" s="16">
        <v>866359.46</v>
      </c>
      <c r="R88" s="16">
        <v>710622.3</v>
      </c>
      <c r="S88" s="16">
        <v>2750699.4</v>
      </c>
      <c r="T88" s="16">
        <v>289100.83</v>
      </c>
      <c r="U88" s="16">
        <v>510716.37</v>
      </c>
      <c r="V88" s="17">
        <v>262852.2</v>
      </c>
      <c r="W88" s="17">
        <v>620809.65</v>
      </c>
      <c r="X88" s="17">
        <v>240283.96</v>
      </c>
      <c r="Y88" s="17">
        <f>SUM(TB_Kochi[[#This Row],[Apr]:[Mar]])</f>
        <v>7980198.6500000013</v>
      </c>
      <c r="Z88" s="89">
        <v>7980198.6500000004</v>
      </c>
      <c r="AA88" s="17">
        <v>479629.82</v>
      </c>
      <c r="AB88" s="17">
        <f>IFERROR(_xlfn.XLOOKUP(TB_Kochi[[#This Row],[Description]],[1]trialbalancePDS.rpt!$K$1:$K$65536,[1]trialbalancePDS.rpt!$J$1:$J$65536,0),0)</f>
        <v>258920.39</v>
      </c>
      <c r="AC88" s="17"/>
    </row>
    <row r="89" spans="2:29" x14ac:dyDescent="0.3">
      <c r="B89" s="5" t="s">
        <v>133</v>
      </c>
      <c r="C89" s="5" t="s">
        <v>2</v>
      </c>
      <c r="D89" s="5" t="s">
        <v>198</v>
      </c>
      <c r="E89" s="5" t="s">
        <v>25</v>
      </c>
      <c r="F89" s="5" t="s">
        <v>42</v>
      </c>
      <c r="G89" s="5" t="s">
        <v>49</v>
      </c>
      <c r="H89" s="5" t="s">
        <v>240</v>
      </c>
      <c r="I89" s="5" t="s">
        <v>511</v>
      </c>
      <c r="J89" s="5" t="s">
        <v>289</v>
      </c>
      <c r="K89" s="5" t="s">
        <v>290</v>
      </c>
      <c r="L89" s="5">
        <f>_xlfn.XLOOKUP(TB_Kochi[[#This Row],[MIS_Group1]],PL_Consol!B:B,PL_Consol!C:C)</f>
        <v>12</v>
      </c>
      <c r="M89" s="16">
        <v>0</v>
      </c>
      <c r="N89" s="16">
        <v>16875</v>
      </c>
      <c r="O89" s="16">
        <v>3718</v>
      </c>
      <c r="P89" s="16">
        <v>0</v>
      </c>
      <c r="Q89" s="16">
        <v>15125</v>
      </c>
      <c r="R89" s="16">
        <v>0</v>
      </c>
      <c r="S89" s="16">
        <v>0</v>
      </c>
      <c r="T89" s="16">
        <v>0</v>
      </c>
      <c r="U89" s="16">
        <v>21750</v>
      </c>
      <c r="V89" s="17">
        <v>0</v>
      </c>
      <c r="W89" s="17">
        <v>0</v>
      </c>
      <c r="X89" s="17">
        <v>13059.24</v>
      </c>
      <c r="Y89" s="17">
        <f>SUM(TB_Kochi[[#This Row],[Apr]:[Mar]])</f>
        <v>70527.240000000005</v>
      </c>
      <c r="Z89" s="89">
        <v>70527.240000000005</v>
      </c>
      <c r="AA89" s="17">
        <v>0</v>
      </c>
      <c r="AB89" s="17">
        <f>IFERROR(_xlfn.XLOOKUP(TB_Kochi[[#This Row],[Description]],[1]trialbalancePDS.rpt!$K$1:$K$65536,[1]trialbalancePDS.rpt!$J$1:$J$65536,0),0)</f>
        <v>0</v>
      </c>
      <c r="AC89" s="17"/>
    </row>
    <row r="90" spans="2:29" x14ac:dyDescent="0.3">
      <c r="B90" s="5" t="s">
        <v>134</v>
      </c>
      <c r="C90" s="5" t="s">
        <v>2</v>
      </c>
      <c r="D90" s="5" t="s">
        <v>198</v>
      </c>
      <c r="E90" s="5" t="s">
        <v>25</v>
      </c>
      <c r="F90" s="5" t="s">
        <v>42</v>
      </c>
      <c r="G90" s="5" t="s">
        <v>49</v>
      </c>
      <c r="H90" s="5" t="s">
        <v>240</v>
      </c>
      <c r="I90" s="5" t="s">
        <v>511</v>
      </c>
      <c r="J90" s="5" t="s">
        <v>289</v>
      </c>
      <c r="K90" s="5" t="s">
        <v>290</v>
      </c>
      <c r="L90" s="5">
        <f>_xlfn.XLOOKUP(TB_Kochi[[#This Row],[MIS_Group1]],PL_Consol!B:B,PL_Consol!C:C)</f>
        <v>12</v>
      </c>
      <c r="M90" s="16">
        <v>57150</v>
      </c>
      <c r="N90" s="16">
        <v>103575</v>
      </c>
      <c r="O90" s="16">
        <v>88814</v>
      </c>
      <c r="P90" s="16">
        <v>102950</v>
      </c>
      <c r="Q90" s="16">
        <v>117638</v>
      </c>
      <c r="R90" s="16">
        <v>120988</v>
      </c>
      <c r="S90" s="16">
        <v>151138</v>
      </c>
      <c r="T90" s="16">
        <v>72980</v>
      </c>
      <c r="U90" s="16">
        <v>63400</v>
      </c>
      <c r="V90" s="17">
        <v>96945</v>
      </c>
      <c r="W90" s="17">
        <v>29100</v>
      </c>
      <c r="X90" s="17">
        <v>63960</v>
      </c>
      <c r="Y90" s="17">
        <f>SUM(TB_Kochi[[#This Row],[Apr]:[Mar]])</f>
        <v>1068638</v>
      </c>
      <c r="Z90" s="89">
        <v>1068638</v>
      </c>
      <c r="AA90" s="17">
        <v>73300</v>
      </c>
      <c r="AB90" s="17">
        <f>IFERROR(_xlfn.XLOOKUP(TB_Kochi[[#This Row],[Description]],[1]trialbalancePDS.rpt!$K$1:$K$65536,[1]trialbalancePDS.rpt!$J$1:$J$65536,0),0)</f>
        <v>117250</v>
      </c>
      <c r="AC90" s="17"/>
    </row>
    <row r="91" spans="2:29" x14ac:dyDescent="0.3">
      <c r="B91" s="5" t="s">
        <v>135</v>
      </c>
      <c r="C91" s="5" t="s">
        <v>2</v>
      </c>
      <c r="D91" s="5" t="s">
        <v>198</v>
      </c>
      <c r="E91" s="5" t="s">
        <v>25</v>
      </c>
      <c r="F91" s="5" t="s">
        <v>42</v>
      </c>
      <c r="G91" s="5" t="s">
        <v>49</v>
      </c>
      <c r="H91" s="5" t="s">
        <v>240</v>
      </c>
      <c r="I91" s="5" t="s">
        <v>511</v>
      </c>
      <c r="J91" s="5" t="s">
        <v>289</v>
      </c>
      <c r="K91" s="5" t="s">
        <v>290</v>
      </c>
      <c r="L91" s="5">
        <f>_xlfn.XLOOKUP(TB_Kochi[[#This Row],[MIS_Group1]],PL_Consol!B:B,PL_Consol!C:C)</f>
        <v>12</v>
      </c>
      <c r="M91" s="16">
        <v>129276</v>
      </c>
      <c r="N91" s="16">
        <v>81250</v>
      </c>
      <c r="O91" s="16">
        <v>129975</v>
      </c>
      <c r="P91" s="16">
        <v>63150</v>
      </c>
      <c r="Q91" s="16">
        <v>182400</v>
      </c>
      <c r="R91" s="16">
        <v>113875</v>
      </c>
      <c r="S91" s="16">
        <v>98800</v>
      </c>
      <c r="T91" s="16">
        <v>189563</v>
      </c>
      <c r="U91" s="16">
        <v>144313</v>
      </c>
      <c r="V91" s="17">
        <v>149375</v>
      </c>
      <c r="W91" s="17">
        <v>196715</v>
      </c>
      <c r="X91" s="17">
        <v>140475</v>
      </c>
      <c r="Y91" s="17">
        <f>SUM(TB_Kochi[[#This Row],[Apr]:[Mar]])</f>
        <v>1619167</v>
      </c>
      <c r="Z91" s="89">
        <v>1619167</v>
      </c>
      <c r="AA91" s="17">
        <v>146075</v>
      </c>
      <c r="AB91" s="17">
        <f>IFERROR(_xlfn.XLOOKUP(TB_Kochi[[#This Row],[Description]],[1]trialbalancePDS.rpt!$K$1:$K$65536,[1]trialbalancePDS.rpt!$J$1:$J$65536,0),0)</f>
        <v>128650</v>
      </c>
      <c r="AC91" s="17"/>
    </row>
    <row r="92" spans="2:29" x14ac:dyDescent="0.3">
      <c r="B92" s="5" t="s">
        <v>136</v>
      </c>
      <c r="C92" s="5" t="s">
        <v>2</v>
      </c>
      <c r="D92" s="5" t="s">
        <v>198</v>
      </c>
      <c r="E92" s="5" t="s">
        <v>25</v>
      </c>
      <c r="F92" s="5" t="s">
        <v>42</v>
      </c>
      <c r="G92" s="5" t="s">
        <v>49</v>
      </c>
      <c r="H92" s="5" t="s">
        <v>241</v>
      </c>
      <c r="I92" s="5" t="s">
        <v>511</v>
      </c>
      <c r="J92" s="5" t="s">
        <v>289</v>
      </c>
      <c r="K92" s="5" t="s">
        <v>291</v>
      </c>
      <c r="L92" s="5">
        <f>_xlfn.XLOOKUP(TB_Kochi[[#This Row],[MIS_Group1]],PL_Consol!B:B,PL_Consol!C:C)</f>
        <v>12</v>
      </c>
      <c r="M92" s="16">
        <v>4653353.87</v>
      </c>
      <c r="N92" s="16">
        <v>4618295.13</v>
      </c>
      <c r="O92" s="16">
        <v>8495392.5099999998</v>
      </c>
      <c r="P92" s="16">
        <v>7995824.8799999999</v>
      </c>
      <c r="Q92" s="16">
        <v>7537976</v>
      </c>
      <c r="R92" s="16">
        <v>11680040.529999999</v>
      </c>
      <c r="S92" s="16">
        <v>8155060.0499999998</v>
      </c>
      <c r="T92" s="16">
        <v>6683691.8300000001</v>
      </c>
      <c r="U92" s="16">
        <v>6457197.1500000004</v>
      </c>
      <c r="V92" s="17">
        <v>4963362.9800000004</v>
      </c>
      <c r="W92" s="17">
        <v>14847196.960000001</v>
      </c>
      <c r="X92" s="17">
        <v>9602396</v>
      </c>
      <c r="Y92" s="17">
        <f>SUM(TB_Kochi[[#This Row],[Apr]:[Mar]])</f>
        <v>95689787.889999986</v>
      </c>
      <c r="Z92" s="89">
        <v>95689787.890000001</v>
      </c>
      <c r="AA92" s="17">
        <v>8187452.04</v>
      </c>
      <c r="AB92" s="17">
        <f>IFERROR(_xlfn.XLOOKUP(TB_Kochi[[#This Row],[Description]],[1]trialbalancePDS.rpt!$K$1:$K$65536,[1]trialbalancePDS.rpt!$J$1:$J$65536,0),0)</f>
        <v>5315489.5199999996</v>
      </c>
      <c r="AC92" s="17"/>
    </row>
    <row r="93" spans="2:29" x14ac:dyDescent="0.3">
      <c r="B93" s="5" t="s">
        <v>137</v>
      </c>
      <c r="C93" s="5" t="s">
        <v>2</v>
      </c>
      <c r="D93" s="5" t="s">
        <v>198</v>
      </c>
      <c r="E93" s="5" t="s">
        <v>25</v>
      </c>
      <c r="F93" s="5" t="s">
        <v>42</v>
      </c>
      <c r="G93" s="5" t="s">
        <v>49</v>
      </c>
      <c r="H93" s="5" t="s">
        <v>241</v>
      </c>
      <c r="I93" s="5" t="s">
        <v>511</v>
      </c>
      <c r="J93" s="5" t="s">
        <v>289</v>
      </c>
      <c r="K93" s="5" t="s">
        <v>292</v>
      </c>
      <c r="L93" s="5">
        <f>_xlfn.XLOOKUP(TB_Kochi[[#This Row],[MIS_Group1]],PL_Consol!B:B,PL_Consol!C:C)</f>
        <v>12</v>
      </c>
      <c r="M93" s="16">
        <v>193079.95</v>
      </c>
      <c r="N93" s="16">
        <v>966120.59</v>
      </c>
      <c r="O93" s="16">
        <v>450655</v>
      </c>
      <c r="P93" s="16">
        <v>524753.59</v>
      </c>
      <c r="Q93" s="16">
        <v>170333</v>
      </c>
      <c r="R93" s="16">
        <v>263094.19</v>
      </c>
      <c r="S93" s="16">
        <v>692088.01</v>
      </c>
      <c r="T93" s="16">
        <v>222509.99</v>
      </c>
      <c r="U93" s="16">
        <v>236735</v>
      </c>
      <c r="V93" s="17">
        <v>337983.76</v>
      </c>
      <c r="W93" s="17">
        <v>420191.99</v>
      </c>
      <c r="X93" s="17">
        <v>681080.98</v>
      </c>
      <c r="Y93" s="17">
        <f>SUM(TB_Kochi[[#This Row],[Apr]:[Mar]])</f>
        <v>5158626.0500000007</v>
      </c>
      <c r="Z93" s="89">
        <v>5158626.05</v>
      </c>
      <c r="AA93" s="17">
        <v>329264.5</v>
      </c>
      <c r="AB93" s="17">
        <f>IFERROR(_xlfn.XLOOKUP(TB_Kochi[[#This Row],[Description]],[1]trialbalancePDS.rpt!$K$1:$K$65536,[1]trialbalancePDS.rpt!$J$1:$J$65536,0),0)</f>
        <v>358942.88</v>
      </c>
      <c r="AC93" s="17"/>
    </row>
    <row r="94" spans="2:29" x14ac:dyDescent="0.3">
      <c r="B94" s="5" t="s">
        <v>138</v>
      </c>
      <c r="C94" s="5" t="s">
        <v>2</v>
      </c>
      <c r="D94" s="5" t="s">
        <v>198</v>
      </c>
      <c r="E94" s="5" t="s">
        <v>25</v>
      </c>
      <c r="F94" s="5" t="s">
        <v>42</v>
      </c>
      <c r="G94" s="5" t="s">
        <v>49</v>
      </c>
      <c r="H94" s="5" t="s">
        <v>242</v>
      </c>
      <c r="I94" s="5" t="s">
        <v>511</v>
      </c>
      <c r="J94" s="5" t="s">
        <v>289</v>
      </c>
      <c r="K94" s="5" t="s">
        <v>292</v>
      </c>
      <c r="L94" s="5">
        <f>_xlfn.XLOOKUP(TB_Kochi[[#This Row],[MIS_Group1]],PL_Consol!B:B,PL_Consol!C:C)</f>
        <v>12</v>
      </c>
      <c r="M94" s="16">
        <v>614630.97</v>
      </c>
      <c r="N94" s="16">
        <v>760805.92</v>
      </c>
      <c r="O94" s="16">
        <v>1162976</v>
      </c>
      <c r="P94" s="16">
        <v>1697989.52</v>
      </c>
      <c r="Q94" s="16">
        <v>1056008.22</v>
      </c>
      <c r="R94" s="16">
        <v>506057.12</v>
      </c>
      <c r="S94" s="16">
        <v>1166891.8600000001</v>
      </c>
      <c r="T94" s="16">
        <v>3236744.04</v>
      </c>
      <c r="U94" s="16">
        <v>1086507.1000000001</v>
      </c>
      <c r="V94" s="17">
        <v>1358473.29</v>
      </c>
      <c r="W94" s="17">
        <v>1062449.21</v>
      </c>
      <c r="X94" s="17">
        <v>2691331.17</v>
      </c>
      <c r="Y94" s="17">
        <f>SUM(TB_Kochi[[#This Row],[Apr]:[Mar]])</f>
        <v>16400864.42</v>
      </c>
      <c r="Z94" s="89">
        <v>16400864.42</v>
      </c>
      <c r="AA94" s="17">
        <v>850002.44</v>
      </c>
      <c r="AB94" s="17">
        <f>IFERROR(_xlfn.XLOOKUP(TB_Kochi[[#This Row],[Description]],[1]trialbalancePDS.rpt!$K$1:$K$65536,[1]trialbalancePDS.rpt!$J$1:$J$65536,0),0)</f>
        <v>349819.99</v>
      </c>
      <c r="AC94" s="17"/>
    </row>
    <row r="95" spans="2:29" x14ac:dyDescent="0.3">
      <c r="B95" s="5" t="s">
        <v>139</v>
      </c>
      <c r="C95" s="5" t="s">
        <v>2</v>
      </c>
      <c r="D95" s="5" t="s">
        <v>198</v>
      </c>
      <c r="E95" s="5" t="s">
        <v>25</v>
      </c>
      <c r="F95" s="5" t="s">
        <v>42</v>
      </c>
      <c r="G95" s="5" t="s">
        <v>49</v>
      </c>
      <c r="H95" s="5" t="s">
        <v>242</v>
      </c>
      <c r="I95" s="5" t="s">
        <v>511</v>
      </c>
      <c r="J95" s="5" t="s">
        <v>289</v>
      </c>
      <c r="K95" s="5" t="s">
        <v>291</v>
      </c>
      <c r="L95" s="5">
        <f>_xlfn.XLOOKUP(TB_Kochi[[#This Row],[MIS_Group1]],PL_Consol!B:B,PL_Consol!C:C)</f>
        <v>12</v>
      </c>
      <c r="M95" s="16">
        <v>30107.759999999998</v>
      </c>
      <c r="N95" s="16">
        <v>0</v>
      </c>
      <c r="O95" s="16">
        <v>9700</v>
      </c>
      <c r="P95" s="16">
        <v>0</v>
      </c>
      <c r="Q95" s="16">
        <v>57637</v>
      </c>
      <c r="R95" s="16">
        <v>0</v>
      </c>
      <c r="S95" s="16">
        <v>0</v>
      </c>
      <c r="T95" s="16">
        <v>0</v>
      </c>
      <c r="U95" s="16">
        <v>29469</v>
      </c>
      <c r="V95" s="17">
        <v>0</v>
      </c>
      <c r="W95" s="17">
        <v>124414.41</v>
      </c>
      <c r="X95" s="17">
        <v>12120</v>
      </c>
      <c r="Y95" s="17">
        <f>SUM(TB_Kochi[[#This Row],[Apr]:[Mar]])</f>
        <v>263448.17</v>
      </c>
      <c r="Z95" s="89">
        <v>263448.17</v>
      </c>
      <c r="AA95" s="17">
        <v>0</v>
      </c>
      <c r="AB95" s="17">
        <f>IFERROR(_xlfn.XLOOKUP(TB_Kochi[[#This Row],[Description]],[1]trialbalancePDS.rpt!$K$1:$K$65536,[1]trialbalancePDS.rpt!$J$1:$J$65536,0),0)</f>
        <v>0</v>
      </c>
      <c r="AC95" s="17"/>
    </row>
    <row r="96" spans="2:29" x14ac:dyDescent="0.3">
      <c r="B96" s="5" t="s">
        <v>140</v>
      </c>
      <c r="C96" s="5" t="s">
        <v>2</v>
      </c>
      <c r="D96" s="5" t="s">
        <v>198</v>
      </c>
      <c r="E96" s="5" t="s">
        <v>25</v>
      </c>
      <c r="F96" s="5" t="s">
        <v>42</v>
      </c>
      <c r="G96" s="5" t="s">
        <v>49</v>
      </c>
      <c r="H96" s="5" t="s">
        <v>243</v>
      </c>
      <c r="I96" s="5" t="s">
        <v>511</v>
      </c>
      <c r="J96" s="5" t="s">
        <v>289</v>
      </c>
      <c r="K96" s="5" t="s">
        <v>293</v>
      </c>
      <c r="L96" s="5">
        <f>_xlfn.XLOOKUP(TB_Kochi[[#This Row],[MIS_Group1]],PL_Consol!B:B,PL_Consol!C:C)</f>
        <v>12</v>
      </c>
      <c r="M96" s="16">
        <v>0</v>
      </c>
      <c r="N96" s="16">
        <v>33000</v>
      </c>
      <c r="O96" s="16">
        <v>950</v>
      </c>
      <c r="P96" s="16">
        <v>0</v>
      </c>
      <c r="Q96" s="16">
        <v>32050</v>
      </c>
      <c r="R96" s="16">
        <v>0</v>
      </c>
      <c r="S96" s="16">
        <v>0</v>
      </c>
      <c r="T96" s="16">
        <v>0</v>
      </c>
      <c r="U96" s="16">
        <v>37900</v>
      </c>
      <c r="V96" s="17">
        <v>0</v>
      </c>
      <c r="W96" s="17">
        <v>0</v>
      </c>
      <c r="X96" s="17">
        <v>84859</v>
      </c>
      <c r="Y96" s="17">
        <f>SUM(TB_Kochi[[#This Row],[Apr]:[Mar]])</f>
        <v>188759</v>
      </c>
      <c r="Z96" s="89">
        <v>188759</v>
      </c>
      <c r="AA96" s="17">
        <v>0</v>
      </c>
      <c r="AB96" s="17">
        <f>IFERROR(_xlfn.XLOOKUP(TB_Kochi[[#This Row],[Description]],[1]trialbalancePDS.rpt!$K$1:$K$65536,[1]trialbalancePDS.rpt!$J$1:$J$65536,0),0)</f>
        <v>0</v>
      </c>
      <c r="AC96" s="17"/>
    </row>
    <row r="97" spans="2:29" x14ac:dyDescent="0.3">
      <c r="B97" s="5" t="s">
        <v>141</v>
      </c>
      <c r="C97" s="5" t="s">
        <v>2</v>
      </c>
      <c r="D97" s="5" t="s">
        <v>198</v>
      </c>
      <c r="E97" s="5" t="s">
        <v>25</v>
      </c>
      <c r="F97" s="5" t="s">
        <v>42</v>
      </c>
      <c r="G97" s="5" t="s">
        <v>49</v>
      </c>
      <c r="H97" s="5" t="s">
        <v>243</v>
      </c>
      <c r="I97" s="5" t="s">
        <v>511</v>
      </c>
      <c r="J97" s="5" t="s">
        <v>289</v>
      </c>
      <c r="K97" s="5" t="s">
        <v>294</v>
      </c>
      <c r="L97" s="5">
        <f>_xlfn.XLOOKUP(TB_Kochi[[#This Row],[MIS_Group1]],PL_Consol!B:B,PL_Consol!C:C)</f>
        <v>12</v>
      </c>
      <c r="M97" s="16">
        <v>119056.81</v>
      </c>
      <c r="N97" s="16">
        <v>306121.95</v>
      </c>
      <c r="O97" s="16">
        <v>58168.89</v>
      </c>
      <c r="P97" s="16">
        <v>505219.24</v>
      </c>
      <c r="Q97" s="16">
        <v>172445.01</v>
      </c>
      <c r="R97" s="16">
        <v>69529.899999999994</v>
      </c>
      <c r="S97" s="16">
        <v>300542.51</v>
      </c>
      <c r="T97" s="16">
        <v>161445</v>
      </c>
      <c r="U97" s="16">
        <v>17758</v>
      </c>
      <c r="V97" s="17">
        <v>20754</v>
      </c>
      <c r="W97" s="17">
        <v>116139.13</v>
      </c>
      <c r="X97" s="17">
        <v>93063.94</v>
      </c>
      <c r="Y97" s="17">
        <f>SUM(TB_Kochi[[#This Row],[Apr]:[Mar]])</f>
        <v>1940244.38</v>
      </c>
      <c r="Z97" s="89">
        <v>1940244.38</v>
      </c>
      <c r="AA97" s="17">
        <v>0</v>
      </c>
      <c r="AB97" s="17">
        <f>IFERROR(_xlfn.XLOOKUP(TB_Kochi[[#This Row],[Description]],[1]trialbalancePDS.rpt!$K$1:$K$65536,[1]trialbalancePDS.rpt!$J$1:$J$65536,0),0)</f>
        <v>0</v>
      </c>
      <c r="AC97" s="17"/>
    </row>
    <row r="98" spans="2:29" x14ac:dyDescent="0.3">
      <c r="B98" s="5" t="s">
        <v>142</v>
      </c>
      <c r="C98" s="5" t="s">
        <v>2</v>
      </c>
      <c r="D98" s="5" t="s">
        <v>198</v>
      </c>
      <c r="E98" s="5" t="s">
        <v>25</v>
      </c>
      <c r="F98" s="5" t="s">
        <v>42</v>
      </c>
      <c r="G98" s="5" t="s">
        <v>49</v>
      </c>
      <c r="H98" s="5" t="s">
        <v>243</v>
      </c>
      <c r="I98" s="5" t="s">
        <v>511</v>
      </c>
      <c r="J98" s="5" t="s">
        <v>289</v>
      </c>
      <c r="K98" s="5" t="s">
        <v>295</v>
      </c>
      <c r="L98" s="5">
        <f>_xlfn.XLOOKUP(TB_Kochi[[#This Row],[MIS_Group1]],PL_Consol!B:B,PL_Consol!C:C)</f>
        <v>12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23330</v>
      </c>
      <c r="V98" s="17">
        <v>0</v>
      </c>
      <c r="W98" s="17">
        <v>0</v>
      </c>
      <c r="X98" s="17">
        <v>0</v>
      </c>
      <c r="Y98" s="17">
        <f>SUM(TB_Kochi[[#This Row],[Apr]:[Mar]])</f>
        <v>23330</v>
      </c>
      <c r="Z98" s="89">
        <v>23330</v>
      </c>
      <c r="AA98" s="17">
        <v>0</v>
      </c>
      <c r="AB98" s="17">
        <f>IFERROR(_xlfn.XLOOKUP(TB_Kochi[[#This Row],[Description]],[1]trialbalancePDS.rpt!$K$1:$K$65536,[1]trialbalancePDS.rpt!$J$1:$J$65536,0),0)</f>
        <v>0</v>
      </c>
      <c r="AC98" s="17"/>
    </row>
    <row r="99" spans="2:29" x14ac:dyDescent="0.3">
      <c r="B99" s="5" t="s">
        <v>143</v>
      </c>
      <c r="C99" s="5" t="s">
        <v>2</v>
      </c>
      <c r="D99" s="5" t="s">
        <v>198</v>
      </c>
      <c r="E99" s="5" t="s">
        <v>25</v>
      </c>
      <c r="F99" s="5" t="s">
        <v>42</v>
      </c>
      <c r="G99" s="5" t="s">
        <v>49</v>
      </c>
      <c r="H99" s="5" t="s">
        <v>243</v>
      </c>
      <c r="I99" s="5" t="s">
        <v>511</v>
      </c>
      <c r="J99" s="5" t="s">
        <v>289</v>
      </c>
      <c r="K99" s="5" t="s">
        <v>296</v>
      </c>
      <c r="L99" s="5">
        <f>_xlfn.XLOOKUP(TB_Kochi[[#This Row],[MIS_Group1]],PL_Consol!B:B,PL_Consol!C:C)</f>
        <v>12</v>
      </c>
      <c r="M99" s="16">
        <v>26077.81</v>
      </c>
      <c r="N99" s="16">
        <v>37378.639999999999</v>
      </c>
      <c r="O99" s="16">
        <v>66045.210000000006</v>
      </c>
      <c r="P99" s="16">
        <v>53015</v>
      </c>
      <c r="Q99" s="16">
        <v>33564</v>
      </c>
      <c r="R99" s="16">
        <v>106807</v>
      </c>
      <c r="S99" s="16">
        <v>105983</v>
      </c>
      <c r="T99" s="16">
        <v>62058</v>
      </c>
      <c r="U99" s="16">
        <v>86493.119999999995</v>
      </c>
      <c r="V99" s="17">
        <v>104841</v>
      </c>
      <c r="W99" s="17">
        <v>18422.28</v>
      </c>
      <c r="X99" s="17">
        <v>104414.14</v>
      </c>
      <c r="Y99" s="17">
        <f>SUM(TB_Kochi[[#This Row],[Apr]:[Mar]])</f>
        <v>805099.20000000007</v>
      </c>
      <c r="Z99" s="89">
        <v>805099.2</v>
      </c>
      <c r="AA99" s="17">
        <v>15153.22</v>
      </c>
      <c r="AB99" s="17">
        <f>IFERROR(_xlfn.XLOOKUP(TB_Kochi[[#This Row],[Description]],[1]trialbalancePDS.rpt!$K$1:$K$65536,[1]trialbalancePDS.rpt!$J$1:$J$65536,0),0)</f>
        <v>46778</v>
      </c>
      <c r="AC99" s="17"/>
    </row>
    <row r="100" spans="2:29" x14ac:dyDescent="0.3">
      <c r="B100" s="5" t="s">
        <v>144</v>
      </c>
      <c r="C100" s="5" t="s">
        <v>2</v>
      </c>
      <c r="D100" s="5" t="s">
        <v>198</v>
      </c>
      <c r="E100" s="5" t="s">
        <v>25</v>
      </c>
      <c r="F100" s="5" t="s">
        <v>42</v>
      </c>
      <c r="G100" s="5" t="s">
        <v>49</v>
      </c>
      <c r="H100" s="5" t="s">
        <v>243</v>
      </c>
      <c r="I100" s="5" t="s">
        <v>511</v>
      </c>
      <c r="J100" s="5" t="s">
        <v>289</v>
      </c>
      <c r="K100" s="5" t="s">
        <v>292</v>
      </c>
      <c r="L100" s="5">
        <f>_xlfn.XLOOKUP(TB_Kochi[[#This Row],[MIS_Group1]],PL_Consol!B:B,PL_Consol!C:C)</f>
        <v>12</v>
      </c>
      <c r="M100" s="16">
        <v>92246.77</v>
      </c>
      <c r="N100" s="16">
        <v>868236.37</v>
      </c>
      <c r="O100" s="16">
        <v>251981.85</v>
      </c>
      <c r="P100" s="16">
        <v>179149.53</v>
      </c>
      <c r="Q100" s="16">
        <v>874785.97</v>
      </c>
      <c r="R100" s="16">
        <v>609463.57999999996</v>
      </c>
      <c r="S100" s="16">
        <v>1518354.88</v>
      </c>
      <c r="T100" s="16">
        <v>482728.1</v>
      </c>
      <c r="U100" s="16">
        <v>340948</v>
      </c>
      <c r="V100" s="17">
        <v>250273</v>
      </c>
      <c r="W100" s="17">
        <v>516160.07</v>
      </c>
      <c r="X100" s="17">
        <v>3084238.22</v>
      </c>
      <c r="Y100" s="17">
        <f>SUM(TB_Kochi[[#This Row],[Apr]:[Mar]])</f>
        <v>9068566.3399999999</v>
      </c>
      <c r="Z100" s="89">
        <v>9068566.3399999999</v>
      </c>
      <c r="AA100" s="17">
        <v>75357</v>
      </c>
      <c r="AB100" s="17">
        <f>IFERROR(_xlfn.XLOOKUP(TB_Kochi[[#This Row],[Description]],[1]trialbalancePDS.rpt!$K$1:$K$65536,[1]trialbalancePDS.rpt!$J$1:$J$65536,0),0)</f>
        <v>224943</v>
      </c>
      <c r="AC100" s="17"/>
    </row>
    <row r="101" spans="2:29" x14ac:dyDescent="0.3">
      <c r="B101" s="5" t="s">
        <v>145</v>
      </c>
      <c r="C101" s="5" t="s">
        <v>2</v>
      </c>
      <c r="D101" s="5" t="s">
        <v>198</v>
      </c>
      <c r="E101" s="5" t="s">
        <v>25</v>
      </c>
      <c r="F101" s="5" t="s">
        <v>42</v>
      </c>
      <c r="G101" s="5" t="s">
        <v>49</v>
      </c>
      <c r="H101" s="5" t="s">
        <v>243</v>
      </c>
      <c r="I101" s="5" t="s">
        <v>511</v>
      </c>
      <c r="J101" s="5" t="s">
        <v>289</v>
      </c>
      <c r="K101" s="5" t="s">
        <v>292</v>
      </c>
      <c r="L101" s="5">
        <f>_xlfn.XLOOKUP(TB_Kochi[[#This Row],[MIS_Group1]],PL_Consol!B:B,PL_Consol!C:C)</f>
        <v>12</v>
      </c>
      <c r="M101" s="16">
        <v>0</v>
      </c>
      <c r="N101" s="16">
        <v>0</v>
      </c>
      <c r="O101" s="16">
        <v>0</v>
      </c>
      <c r="P101" s="16">
        <v>0</v>
      </c>
      <c r="Q101" s="16">
        <v>678500</v>
      </c>
      <c r="R101" s="16">
        <v>0</v>
      </c>
      <c r="S101" s="16">
        <v>0</v>
      </c>
      <c r="T101" s="16">
        <v>0</v>
      </c>
      <c r="U101" s="16">
        <v>0</v>
      </c>
      <c r="V101" s="17">
        <v>0</v>
      </c>
      <c r="W101" s="17">
        <v>0</v>
      </c>
      <c r="X101" s="17">
        <v>0</v>
      </c>
      <c r="Y101" s="17">
        <f>SUM(TB_Kochi[[#This Row],[Apr]:[Mar]])</f>
        <v>678500</v>
      </c>
      <c r="Z101" s="89">
        <v>678500</v>
      </c>
      <c r="AA101" s="17">
        <v>0</v>
      </c>
      <c r="AB101" s="17">
        <f>IFERROR(_xlfn.XLOOKUP(TB_Kochi[[#This Row],[Description]],[1]trialbalancePDS.rpt!$K$1:$K$65536,[1]trialbalancePDS.rpt!$J$1:$J$65536,0),0)</f>
        <v>0</v>
      </c>
      <c r="AC101" s="17"/>
    </row>
    <row r="102" spans="2:29" x14ac:dyDescent="0.3">
      <c r="B102" s="5" t="s">
        <v>146</v>
      </c>
      <c r="C102" s="5" t="s">
        <v>2</v>
      </c>
      <c r="D102" s="5" t="s">
        <v>198</v>
      </c>
      <c r="E102" s="5" t="s">
        <v>25</v>
      </c>
      <c r="F102" s="5" t="s">
        <v>42</v>
      </c>
      <c r="G102" s="5" t="s">
        <v>49</v>
      </c>
      <c r="H102" s="5" t="s">
        <v>243</v>
      </c>
      <c r="I102" s="5" t="s">
        <v>511</v>
      </c>
      <c r="J102" s="5" t="s">
        <v>289</v>
      </c>
      <c r="K102" s="5" t="s">
        <v>293</v>
      </c>
      <c r="L102" s="5">
        <f>_xlfn.XLOOKUP(TB_Kochi[[#This Row],[MIS_Group1]],PL_Consol!B:B,PL_Consol!C:C)</f>
        <v>12</v>
      </c>
      <c r="M102" s="16">
        <v>34837.480000000003</v>
      </c>
      <c r="N102" s="16">
        <v>176887.05</v>
      </c>
      <c r="O102" s="16">
        <v>224469.42</v>
      </c>
      <c r="P102" s="16">
        <v>215563</v>
      </c>
      <c r="Q102" s="16">
        <v>883284</v>
      </c>
      <c r="R102" s="16">
        <v>413536.67</v>
      </c>
      <c r="S102" s="16">
        <v>234657.52</v>
      </c>
      <c r="T102" s="16">
        <v>636500.67000000004</v>
      </c>
      <c r="U102" s="16">
        <v>144482.94</v>
      </c>
      <c r="V102" s="17">
        <v>464024.93000000005</v>
      </c>
      <c r="W102" s="17">
        <v>205078.56999999995</v>
      </c>
      <c r="X102" s="17">
        <v>692090.3899999999</v>
      </c>
      <c r="Y102" s="17">
        <f>SUM(TB_Kochi[[#This Row],[Apr]:[Mar]])</f>
        <v>4325412.6399999997</v>
      </c>
      <c r="Z102" s="89">
        <v>4325412.6399999997</v>
      </c>
      <c r="AA102" s="17">
        <v>244830.84999999998</v>
      </c>
      <c r="AB102" s="17">
        <f>IFERROR(_xlfn.XLOOKUP(TB_Kochi[[#This Row],[Description]],[1]trialbalancePDS.rpt!$K$1:$K$65536,[1]trialbalancePDS.rpt!$J$1:$J$65536,0),0)</f>
        <v>226495.40000000002</v>
      </c>
      <c r="AC102" s="17"/>
    </row>
    <row r="103" spans="2:29" x14ac:dyDescent="0.3">
      <c r="B103" s="5" t="s">
        <v>147</v>
      </c>
      <c r="C103" s="5" t="s">
        <v>2</v>
      </c>
      <c r="D103" s="5" t="s">
        <v>198</v>
      </c>
      <c r="E103" s="5" t="s">
        <v>25</v>
      </c>
      <c r="F103" s="5" t="s">
        <v>42</v>
      </c>
      <c r="G103" s="5" t="s">
        <v>48</v>
      </c>
      <c r="H103" s="5" t="s">
        <v>48</v>
      </c>
      <c r="I103" s="5" t="s">
        <v>511</v>
      </c>
      <c r="J103" s="5" t="s">
        <v>207</v>
      </c>
      <c r="K103" s="5" t="s">
        <v>297</v>
      </c>
      <c r="L103" s="5">
        <f>_xlfn.XLOOKUP(TB_Kochi[[#This Row],[MIS_Group1]],PL_Consol!B:B,PL_Consol!C:C)</f>
        <v>19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7">
        <v>0</v>
      </c>
      <c r="W103" s="17">
        <v>0</v>
      </c>
      <c r="X103" s="17">
        <v>0</v>
      </c>
      <c r="Y103" s="17">
        <f>SUM(TB_Kochi[[#This Row],[Apr]:[Mar]])</f>
        <v>0</v>
      </c>
      <c r="Z103" s="89">
        <v>0</v>
      </c>
      <c r="AA103" s="17">
        <v>0</v>
      </c>
      <c r="AB103" s="17">
        <f>IFERROR(_xlfn.XLOOKUP(TB_Kochi[[#This Row],[Description]],[1]trialbalancePDS.rpt!$K$1:$K$65536,[1]trialbalancePDS.rpt!$J$1:$J$65536,0),0)</f>
        <v>0</v>
      </c>
      <c r="AC103" s="17"/>
    </row>
    <row r="104" spans="2:29" x14ac:dyDescent="0.3">
      <c r="B104" s="5" t="s">
        <v>148</v>
      </c>
      <c r="C104" s="5" t="s">
        <v>2</v>
      </c>
      <c r="D104" s="5" t="s">
        <v>198</v>
      </c>
      <c r="E104" s="5" t="s">
        <v>25</v>
      </c>
      <c r="F104" s="5" t="s">
        <v>42</v>
      </c>
      <c r="G104" s="5" t="s">
        <v>48</v>
      </c>
      <c r="H104" s="5" t="s">
        <v>48</v>
      </c>
      <c r="I104" s="5" t="s">
        <v>511</v>
      </c>
      <c r="J104" s="5" t="s">
        <v>207</v>
      </c>
      <c r="K104" s="5" t="s">
        <v>298</v>
      </c>
      <c r="L104" s="5">
        <f>_xlfn.XLOOKUP(TB_Kochi[[#This Row],[MIS_Group1]],PL_Consol!B:B,PL_Consol!C:C)</f>
        <v>19</v>
      </c>
      <c r="M104" s="16">
        <v>22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7">
        <v>0</v>
      </c>
      <c r="W104" s="17">
        <v>0</v>
      </c>
      <c r="X104" s="17">
        <v>0</v>
      </c>
      <c r="Y104" s="17">
        <f>SUM(TB_Kochi[[#This Row],[Apr]:[Mar]])</f>
        <v>22</v>
      </c>
      <c r="Z104" s="89">
        <v>22</v>
      </c>
      <c r="AA104" s="17">
        <v>0</v>
      </c>
      <c r="AB104" s="17">
        <f>IFERROR(_xlfn.XLOOKUP(TB_Kochi[[#This Row],[Description]],[1]trialbalancePDS.rpt!$K$1:$K$65536,[1]trialbalancePDS.rpt!$J$1:$J$65536,0),0)</f>
        <v>2000</v>
      </c>
      <c r="AC104" s="17"/>
    </row>
    <row r="105" spans="2:29" x14ac:dyDescent="0.3">
      <c r="B105" s="5" t="s">
        <v>149</v>
      </c>
      <c r="C105" s="5" t="s">
        <v>2</v>
      </c>
      <c r="D105" s="5" t="s">
        <v>198</v>
      </c>
      <c r="E105" s="5" t="s">
        <v>25</v>
      </c>
      <c r="F105" s="5" t="s">
        <v>42</v>
      </c>
      <c r="G105" s="5" t="s">
        <v>48</v>
      </c>
      <c r="H105" s="5" t="s">
        <v>48</v>
      </c>
      <c r="I105" s="5" t="s">
        <v>511</v>
      </c>
      <c r="J105" s="5" t="s">
        <v>207</v>
      </c>
      <c r="K105" s="5" t="s">
        <v>299</v>
      </c>
      <c r="L105" s="5">
        <f>_xlfn.XLOOKUP(TB_Kochi[[#This Row],[MIS_Group1]],PL_Consol!B:B,PL_Consol!C:C)</f>
        <v>19</v>
      </c>
      <c r="M105" s="16">
        <v>204131</v>
      </c>
      <c r="N105" s="16">
        <v>174693.33</v>
      </c>
      <c r="O105" s="16">
        <v>166776.38</v>
      </c>
      <c r="P105" s="16">
        <v>172336</v>
      </c>
      <c r="Q105" s="16">
        <v>250915</v>
      </c>
      <c r="R105" s="16">
        <v>250326.39999999999</v>
      </c>
      <c r="S105" s="16">
        <v>13930.92</v>
      </c>
      <c r="T105" s="16">
        <v>266658.48</v>
      </c>
      <c r="U105" s="16">
        <v>298647.14</v>
      </c>
      <c r="V105" s="17">
        <v>298835.71999999997</v>
      </c>
      <c r="W105" s="17">
        <v>269916.13</v>
      </c>
      <c r="X105" s="17">
        <v>298471.88</v>
      </c>
      <c r="Y105" s="17">
        <f>SUM(TB_Kochi[[#This Row],[Apr]:[Mar]])</f>
        <v>2665638.38</v>
      </c>
      <c r="Z105" s="89">
        <v>2665638.38</v>
      </c>
      <c r="AA105" s="17">
        <v>284139.92</v>
      </c>
      <c r="AB105" s="17">
        <f>IFERROR(_xlfn.XLOOKUP(TB_Kochi[[#This Row],[Description]],[1]trialbalancePDS.rpt!$K$1:$K$65536,[1]trialbalancePDS.rpt!$J$1:$J$65536,0),0)</f>
        <v>306754.38</v>
      </c>
      <c r="AC105" s="17"/>
    </row>
    <row r="106" spans="2:29" x14ac:dyDescent="0.3">
      <c r="B106" s="5" t="s">
        <v>150</v>
      </c>
      <c r="C106" s="5" t="s">
        <v>2</v>
      </c>
      <c r="D106" s="5" t="s">
        <v>198</v>
      </c>
      <c r="E106" s="5" t="s">
        <v>25</v>
      </c>
      <c r="F106" s="5" t="s">
        <v>42</v>
      </c>
      <c r="G106" s="5" t="s">
        <v>48</v>
      </c>
      <c r="H106" s="5" t="s">
        <v>48</v>
      </c>
      <c r="I106" s="5" t="s">
        <v>511</v>
      </c>
      <c r="J106" s="5" t="s">
        <v>207</v>
      </c>
      <c r="K106" s="5" t="s">
        <v>300</v>
      </c>
      <c r="L106" s="5">
        <f>_xlfn.XLOOKUP(TB_Kochi[[#This Row],[MIS_Group1]],PL_Consol!B:B,PL_Consol!C:C)</f>
        <v>19</v>
      </c>
      <c r="M106" s="16">
        <v>9127.66</v>
      </c>
      <c r="N106" s="16">
        <v>63674.82</v>
      </c>
      <c r="O106" s="16">
        <v>11798.86</v>
      </c>
      <c r="P106" s="16">
        <v>12125</v>
      </c>
      <c r="Q106" s="16">
        <v>12167</v>
      </c>
      <c r="R106" s="16">
        <v>11616.23</v>
      </c>
      <c r="S106" s="16">
        <v>252287.05</v>
      </c>
      <c r="T106" s="16">
        <v>21242.97</v>
      </c>
      <c r="U106" s="16">
        <v>12028.26</v>
      </c>
      <c r="V106" s="17">
        <v>12025.83</v>
      </c>
      <c r="W106" s="17">
        <v>11036.94</v>
      </c>
      <c r="X106" s="17">
        <v>12926.89</v>
      </c>
      <c r="Y106" s="17">
        <f>SUM(TB_Kochi[[#This Row],[Apr]:[Mar]])</f>
        <v>442057.51</v>
      </c>
      <c r="Z106" s="89">
        <v>442057.51</v>
      </c>
      <c r="AA106" s="17">
        <v>11577.66</v>
      </c>
      <c r="AB106" s="17">
        <f>IFERROR(_xlfn.XLOOKUP(TB_Kochi[[#This Row],[Description]],[1]trialbalancePDS.rpt!$K$1:$K$65536,[1]trialbalancePDS.rpt!$J$1:$J$65536,0),0)</f>
        <v>12691.82</v>
      </c>
      <c r="AC106" s="17"/>
    </row>
    <row r="107" spans="2:29" x14ac:dyDescent="0.3">
      <c r="B107" s="5" t="s">
        <v>151</v>
      </c>
      <c r="C107" s="5" t="s">
        <v>2</v>
      </c>
      <c r="D107" s="5" t="s">
        <v>198</v>
      </c>
      <c r="E107" s="5" t="s">
        <v>25</v>
      </c>
      <c r="F107" s="5" t="s">
        <v>42</v>
      </c>
      <c r="G107" s="5" t="s">
        <v>47</v>
      </c>
      <c r="H107" s="5" t="s">
        <v>47</v>
      </c>
      <c r="I107" s="5" t="s">
        <v>511</v>
      </c>
      <c r="J107" s="5" t="s">
        <v>301</v>
      </c>
      <c r="K107" s="5" t="s">
        <v>301</v>
      </c>
      <c r="L107" s="5">
        <f>_xlfn.XLOOKUP(TB_Kochi[[#This Row],[MIS_Group1]],PL_Consol!B:B,PL_Consol!C:C)</f>
        <v>20</v>
      </c>
      <c r="M107" s="16">
        <v>610</v>
      </c>
      <c r="N107" s="16">
        <v>0</v>
      </c>
      <c r="O107" s="16">
        <v>0</v>
      </c>
      <c r="P107" s="16">
        <v>0</v>
      </c>
      <c r="Q107" s="16">
        <v>612</v>
      </c>
      <c r="R107" s="16">
        <v>0</v>
      </c>
      <c r="S107" s="16">
        <v>0</v>
      </c>
      <c r="T107" s="16">
        <v>0</v>
      </c>
      <c r="U107" s="16">
        <v>0</v>
      </c>
      <c r="V107" s="17">
        <v>0</v>
      </c>
      <c r="W107" s="17">
        <v>0</v>
      </c>
      <c r="X107" s="17">
        <v>0</v>
      </c>
      <c r="Y107" s="17">
        <f>SUM(TB_Kochi[[#This Row],[Apr]:[Mar]])</f>
        <v>1222</v>
      </c>
      <c r="Z107" s="89">
        <v>1222</v>
      </c>
      <c r="AA107" s="17">
        <v>0</v>
      </c>
      <c r="AB107" s="17">
        <f>IFERROR(_xlfn.XLOOKUP(TB_Kochi[[#This Row],[Description]],[1]trialbalancePDS.rpt!$K$1:$K$65536,[1]trialbalancePDS.rpt!$J$1:$J$65536,0),0)</f>
        <v>0</v>
      </c>
      <c r="AC107" s="17"/>
    </row>
    <row r="108" spans="2:29" x14ac:dyDescent="0.3">
      <c r="B108" s="5" t="s">
        <v>152</v>
      </c>
      <c r="C108" s="5" t="s">
        <v>2</v>
      </c>
      <c r="D108" s="5" t="s">
        <v>198</v>
      </c>
      <c r="E108" s="5" t="s">
        <v>25</v>
      </c>
      <c r="F108" s="5" t="s">
        <v>42</v>
      </c>
      <c r="G108" s="5" t="s">
        <v>47</v>
      </c>
      <c r="H108" s="5" t="s">
        <v>47</v>
      </c>
      <c r="I108" s="5" t="s">
        <v>511</v>
      </c>
      <c r="J108" s="5" t="s">
        <v>301</v>
      </c>
      <c r="K108" s="5" t="s">
        <v>301</v>
      </c>
      <c r="L108" s="5">
        <f>_xlfn.XLOOKUP(TB_Kochi[[#This Row],[MIS_Group1]],PL_Consol!B:B,PL_Consol!C:C)</f>
        <v>20</v>
      </c>
      <c r="M108" s="16">
        <v>94586.22</v>
      </c>
      <c r="N108" s="16">
        <v>97739.1</v>
      </c>
      <c r="O108" s="16">
        <v>503872.6</v>
      </c>
      <c r="P108" s="16">
        <v>569828</v>
      </c>
      <c r="Q108" s="16">
        <v>97935</v>
      </c>
      <c r="R108" s="16">
        <v>97672.6</v>
      </c>
      <c r="S108" s="16">
        <v>97828.36</v>
      </c>
      <c r="T108" s="16">
        <v>94672.6</v>
      </c>
      <c r="U108" s="16">
        <v>97828.36</v>
      </c>
      <c r="V108" s="17">
        <v>99828.36</v>
      </c>
      <c r="W108" s="17">
        <v>209352.3</v>
      </c>
      <c r="X108" s="17">
        <v>173828.36</v>
      </c>
      <c r="Y108" s="17">
        <f>SUM(TB_Kochi[[#This Row],[Apr]:[Mar]])</f>
        <v>2234971.8600000003</v>
      </c>
      <c r="Z108" s="89">
        <v>2234971.86</v>
      </c>
      <c r="AA108" s="17">
        <v>91642.21</v>
      </c>
      <c r="AB108" s="17">
        <f>IFERROR(_xlfn.XLOOKUP(TB_Kochi[[#This Row],[Description]],[1]trialbalancePDS.rpt!$K$1:$K$65536,[1]trialbalancePDS.rpt!$J$1:$J$65536,0),0)</f>
        <v>97962.37</v>
      </c>
      <c r="AC108" s="17"/>
    </row>
    <row r="109" spans="2:29" x14ac:dyDescent="0.3">
      <c r="B109" s="5" t="s">
        <v>153</v>
      </c>
      <c r="C109" s="5" t="s">
        <v>2</v>
      </c>
      <c r="D109" s="5" t="s">
        <v>198</v>
      </c>
      <c r="E109" s="5" t="s">
        <v>25</v>
      </c>
      <c r="F109" s="5" t="s">
        <v>42</v>
      </c>
      <c r="G109" s="5" t="s">
        <v>47</v>
      </c>
      <c r="H109" s="5" t="s">
        <v>47</v>
      </c>
      <c r="I109" s="5" t="s">
        <v>511</v>
      </c>
      <c r="J109" s="5" t="s">
        <v>301</v>
      </c>
      <c r="K109" s="5" t="s">
        <v>301</v>
      </c>
      <c r="L109" s="5">
        <f>_xlfn.XLOOKUP(TB_Kochi[[#This Row],[MIS_Group1]],PL_Consol!B:B,PL_Consol!C:C)</f>
        <v>20</v>
      </c>
      <c r="M109" s="16">
        <v>239827.5</v>
      </c>
      <c r="N109" s="16">
        <v>487416.5</v>
      </c>
      <c r="O109" s="16">
        <v>-75313</v>
      </c>
      <c r="P109" s="16">
        <v>35988</v>
      </c>
      <c r="Q109" s="16">
        <v>199667.5</v>
      </c>
      <c r="R109" s="16">
        <v>57647</v>
      </c>
      <c r="S109" s="16">
        <v>39011.5</v>
      </c>
      <c r="T109" s="16">
        <v>68691.25</v>
      </c>
      <c r="U109" s="16">
        <v>119593.49</v>
      </c>
      <c r="V109" s="17">
        <v>207366.49</v>
      </c>
      <c r="W109" s="17">
        <v>51783.5</v>
      </c>
      <c r="X109" s="17">
        <v>128621</v>
      </c>
      <c r="Y109" s="17">
        <f>SUM(TB_Kochi[[#This Row],[Apr]:[Mar]])</f>
        <v>1560300.73</v>
      </c>
      <c r="Z109" s="89">
        <v>1560300.73</v>
      </c>
      <c r="AA109" s="17">
        <v>14157.5</v>
      </c>
      <c r="AB109" s="17">
        <f>IFERROR(_xlfn.XLOOKUP(TB_Kochi[[#This Row],[Description]],[1]trialbalancePDS.rpt!$K$1:$K$65536,[1]trialbalancePDS.rpt!$J$1:$J$65536,0),0)</f>
        <v>25525</v>
      </c>
      <c r="AC109" s="17"/>
    </row>
    <row r="110" spans="2:29" x14ac:dyDescent="0.3">
      <c r="B110" s="5" t="s">
        <v>154</v>
      </c>
      <c r="C110" s="5" t="s">
        <v>2</v>
      </c>
      <c r="D110" s="5" t="s">
        <v>198</v>
      </c>
      <c r="E110" s="5" t="s">
        <v>25</v>
      </c>
      <c r="F110" s="5" t="s">
        <v>42</v>
      </c>
      <c r="G110" s="5" t="s">
        <v>46</v>
      </c>
      <c r="H110" s="5" t="s">
        <v>244</v>
      </c>
      <c r="I110" s="5" t="s">
        <v>511</v>
      </c>
      <c r="J110" s="5" t="s">
        <v>302</v>
      </c>
      <c r="K110" s="5" t="s">
        <v>303</v>
      </c>
      <c r="L110" s="5">
        <f>_xlfn.XLOOKUP(TB_Kochi[[#This Row],[MIS_Group1]],PL_Consol!B:B,PL_Consol!C:C)</f>
        <v>21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22700</v>
      </c>
      <c r="U110" s="16">
        <v>0</v>
      </c>
      <c r="V110" s="17">
        <v>0</v>
      </c>
      <c r="W110" s="17">
        <v>2374167</v>
      </c>
      <c r="X110" s="17">
        <v>-1430167</v>
      </c>
      <c r="Y110" s="17">
        <f>SUM(TB_Kochi[[#This Row],[Apr]:[Mar]])</f>
        <v>966700</v>
      </c>
      <c r="Z110" s="89">
        <v>966700</v>
      </c>
      <c r="AA110" s="17">
        <v>0</v>
      </c>
      <c r="AB110" s="17">
        <f>IFERROR(_xlfn.XLOOKUP(TB_Kochi[[#This Row],[Description]],[1]trialbalancePDS.rpt!$K$1:$K$65536,[1]trialbalancePDS.rpt!$J$1:$J$65536,0),0)</f>
        <v>0</v>
      </c>
      <c r="AC110" s="17"/>
    </row>
    <row r="111" spans="2:29" x14ac:dyDescent="0.3">
      <c r="B111" s="5" t="s">
        <v>155</v>
      </c>
      <c r="C111" s="5" t="s">
        <v>2</v>
      </c>
      <c r="D111" s="5" t="s">
        <v>198</v>
      </c>
      <c r="E111" s="5" t="s">
        <v>25</v>
      </c>
      <c r="F111" s="5" t="s">
        <v>42</v>
      </c>
      <c r="G111" s="5" t="s">
        <v>46</v>
      </c>
      <c r="H111" s="5" t="s">
        <v>244</v>
      </c>
      <c r="I111" s="5" t="s">
        <v>511</v>
      </c>
      <c r="J111" s="5" t="s">
        <v>302</v>
      </c>
      <c r="K111" s="5" t="s">
        <v>303</v>
      </c>
      <c r="L111" s="5">
        <f>_xlfn.XLOOKUP(TB_Kochi[[#This Row],[MIS_Group1]],PL_Consol!B:B,PL_Consol!C:C)</f>
        <v>21</v>
      </c>
      <c r="M111" s="16">
        <v>0</v>
      </c>
      <c r="N111" s="16">
        <v>80000</v>
      </c>
      <c r="O111" s="16">
        <v>0</v>
      </c>
      <c r="P111" s="16">
        <v>150602</v>
      </c>
      <c r="Q111" s="16">
        <v>0</v>
      </c>
      <c r="R111" s="16">
        <v>0</v>
      </c>
      <c r="S111" s="16">
        <v>0</v>
      </c>
      <c r="T111" s="16">
        <v>350000</v>
      </c>
      <c r="U111" s="16">
        <v>0</v>
      </c>
      <c r="V111" s="17">
        <v>0</v>
      </c>
      <c r="W111" s="17">
        <v>0</v>
      </c>
      <c r="X111" s="17">
        <v>233959.53</v>
      </c>
      <c r="Y111" s="17">
        <f>SUM(TB_Kochi[[#This Row],[Apr]:[Mar]])</f>
        <v>814561.53</v>
      </c>
      <c r="Z111" s="89">
        <v>814561.53</v>
      </c>
      <c r="AA111" s="17">
        <v>0</v>
      </c>
      <c r="AB111" s="17">
        <f>IFERROR(_xlfn.XLOOKUP(TB_Kochi[[#This Row],[Description]],[1]trialbalancePDS.rpt!$K$1:$K$65536,[1]trialbalancePDS.rpt!$J$1:$J$65536,0),0)</f>
        <v>0</v>
      </c>
      <c r="AC111" s="17"/>
    </row>
    <row r="112" spans="2:29" x14ac:dyDescent="0.3">
      <c r="B112" s="5" t="s">
        <v>156</v>
      </c>
      <c r="C112" s="5" t="s">
        <v>2</v>
      </c>
      <c r="D112" s="5" t="s">
        <v>198</v>
      </c>
      <c r="E112" s="5" t="s">
        <v>25</v>
      </c>
      <c r="F112" s="5" t="s">
        <v>42</v>
      </c>
      <c r="G112" s="5" t="s">
        <v>45</v>
      </c>
      <c r="H112" s="5" t="s">
        <v>245</v>
      </c>
      <c r="I112" s="5" t="s">
        <v>511</v>
      </c>
      <c r="J112" s="5" t="s">
        <v>270</v>
      </c>
      <c r="K112" s="5" t="s">
        <v>271</v>
      </c>
      <c r="L112" s="5">
        <f>_xlfn.XLOOKUP(TB_Kochi[[#This Row],[MIS_Group1]],PL_Consol!B:B,PL_Consol!C:C)</f>
        <v>26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7">
        <v>0</v>
      </c>
      <c r="W112" s="17">
        <v>0</v>
      </c>
      <c r="X112" s="17">
        <v>0</v>
      </c>
      <c r="Y112" s="17">
        <f>SUM(TB_Kochi[[#This Row],[Apr]:[Mar]])</f>
        <v>0</v>
      </c>
      <c r="Z112" s="89">
        <v>0</v>
      </c>
      <c r="AA112" s="17">
        <v>0</v>
      </c>
      <c r="AB112" s="17">
        <f>IFERROR(_xlfn.XLOOKUP(TB_Kochi[[#This Row],[Description]],[1]trialbalancePDS.rpt!$K$1:$K$65536,[1]trialbalancePDS.rpt!$J$1:$J$65536,0),0)</f>
        <v>0</v>
      </c>
      <c r="AC112" s="17"/>
    </row>
    <row r="113" spans="2:30" x14ac:dyDescent="0.3">
      <c r="B113" s="5" t="s">
        <v>157</v>
      </c>
      <c r="C113" s="5" t="s">
        <v>2</v>
      </c>
      <c r="D113" s="5" t="s">
        <v>198</v>
      </c>
      <c r="E113" s="5" t="s">
        <v>25</v>
      </c>
      <c r="F113" s="5" t="s">
        <v>42</v>
      </c>
      <c r="G113" s="5" t="s">
        <v>45</v>
      </c>
      <c r="H113" s="5" t="s">
        <v>245</v>
      </c>
      <c r="I113" s="5" t="s">
        <v>511</v>
      </c>
      <c r="J113" s="5" t="s">
        <v>270</v>
      </c>
      <c r="K113" s="5" t="s">
        <v>271</v>
      </c>
      <c r="L113" s="5">
        <f>_xlfn.XLOOKUP(TB_Kochi[[#This Row],[MIS_Group1]],PL_Consol!B:B,PL_Consol!C:C)</f>
        <v>26</v>
      </c>
      <c r="M113" s="16">
        <v>-34132.879999999997</v>
      </c>
      <c r="N113" s="16">
        <v>-27123</v>
      </c>
      <c r="O113" s="16">
        <v>18220</v>
      </c>
      <c r="P113" s="16">
        <v>70000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7">
        <v>40500</v>
      </c>
      <c r="W113" s="17">
        <v>0</v>
      </c>
      <c r="X113" s="17">
        <v>0</v>
      </c>
      <c r="Y113" s="17">
        <f>SUM(TB_Kochi[[#This Row],[Apr]:[Mar]])</f>
        <v>67464.12</v>
      </c>
      <c r="Z113" s="89">
        <v>67464.12</v>
      </c>
      <c r="AA113" s="17">
        <v>0</v>
      </c>
      <c r="AB113" s="17">
        <f>IFERROR(_xlfn.XLOOKUP(TB_Kochi[[#This Row],[Description]],[1]trialbalancePDS.rpt!$K$1:$K$65536,[1]trialbalancePDS.rpt!$J$1:$J$65536,0),0)</f>
        <v>0</v>
      </c>
      <c r="AC113" s="17"/>
    </row>
    <row r="114" spans="2:30" x14ac:dyDescent="0.3">
      <c r="B114" s="5" t="s">
        <v>158</v>
      </c>
      <c r="C114" s="5" t="s">
        <v>2</v>
      </c>
      <c r="D114" s="5" t="s">
        <v>198</v>
      </c>
      <c r="E114" s="5" t="s">
        <v>25</v>
      </c>
      <c r="F114" s="5" t="s">
        <v>42</v>
      </c>
      <c r="G114" s="5" t="s">
        <v>45</v>
      </c>
      <c r="H114" s="5" t="s">
        <v>245</v>
      </c>
      <c r="I114" s="5" t="s">
        <v>511</v>
      </c>
      <c r="J114" s="5" t="s">
        <v>270</v>
      </c>
      <c r="K114" s="5" t="s">
        <v>271</v>
      </c>
      <c r="L114" s="5">
        <f>_xlfn.XLOOKUP(TB_Kochi[[#This Row],[MIS_Group1]],PL_Consol!B:B,PL_Consol!C:C)</f>
        <v>26</v>
      </c>
      <c r="M114" s="16">
        <v>0</v>
      </c>
      <c r="N114" s="16">
        <v>40000</v>
      </c>
      <c r="O114" s="16">
        <v>65000</v>
      </c>
      <c r="P114" s="16">
        <v>0</v>
      </c>
      <c r="Q114" s="16">
        <v>50000</v>
      </c>
      <c r="R114" s="16">
        <v>0</v>
      </c>
      <c r="S114" s="16">
        <v>0</v>
      </c>
      <c r="T114" s="16">
        <v>50000</v>
      </c>
      <c r="U114" s="16">
        <v>0</v>
      </c>
      <c r="V114" s="17">
        <v>45000</v>
      </c>
      <c r="W114" s="17">
        <v>55000</v>
      </c>
      <c r="X114" s="17">
        <v>0</v>
      </c>
      <c r="Y114" s="17">
        <f>SUM(TB_Kochi[[#This Row],[Apr]:[Mar]])</f>
        <v>305000</v>
      </c>
      <c r="Z114" s="89">
        <v>305000</v>
      </c>
      <c r="AA114" s="17">
        <v>0</v>
      </c>
      <c r="AB114" s="17">
        <f>IFERROR(_xlfn.XLOOKUP(TB_Kochi[[#This Row],[Description]],[1]trialbalancePDS.rpt!$K$1:$K$65536,[1]trialbalancePDS.rpt!$J$1:$J$65536,0),0)</f>
        <v>55000</v>
      </c>
      <c r="AC114" s="17"/>
    </row>
    <row r="115" spans="2:30" x14ac:dyDescent="0.3">
      <c r="B115" s="5" t="s">
        <v>159</v>
      </c>
      <c r="C115" s="5" t="s">
        <v>2</v>
      </c>
      <c r="D115" s="5" t="s">
        <v>198</v>
      </c>
      <c r="E115" s="5" t="s">
        <v>25</v>
      </c>
      <c r="F115" s="5" t="s">
        <v>42</v>
      </c>
      <c r="G115" s="5" t="s">
        <v>44</v>
      </c>
      <c r="H115" s="5" t="s">
        <v>246</v>
      </c>
      <c r="I115" s="5" t="s">
        <v>511</v>
      </c>
      <c r="J115" s="5" t="s">
        <v>270</v>
      </c>
      <c r="K115" s="5" t="s">
        <v>271</v>
      </c>
      <c r="L115" s="5">
        <f>_xlfn.XLOOKUP(TB_Kochi[[#This Row],[MIS_Group1]],PL_Consol!B:B,PL_Consol!C:C)</f>
        <v>26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7">
        <v>0</v>
      </c>
      <c r="W115" s="17">
        <v>0</v>
      </c>
      <c r="X115" s="17">
        <v>211389</v>
      </c>
      <c r="Y115" s="17">
        <f>SUM(TB_Kochi[[#This Row],[Apr]:[Mar]])</f>
        <v>211389</v>
      </c>
      <c r="Z115" s="89">
        <v>211389</v>
      </c>
      <c r="AA115" s="17">
        <v>0</v>
      </c>
      <c r="AB115" s="17">
        <f>IFERROR(_xlfn.XLOOKUP(TB_Kochi[[#This Row],[Description]],[1]trialbalancePDS.rpt!$K$1:$K$65536,[1]trialbalancePDS.rpt!$J$1:$J$65536,0),0)</f>
        <v>0</v>
      </c>
      <c r="AC115" s="17"/>
    </row>
    <row r="116" spans="2:30" x14ac:dyDescent="0.3">
      <c r="B116" s="5" t="s">
        <v>160</v>
      </c>
      <c r="C116" s="5" t="s">
        <v>2</v>
      </c>
      <c r="D116" s="5" t="s">
        <v>198</v>
      </c>
      <c r="E116" s="5" t="s">
        <v>25</v>
      </c>
      <c r="F116" s="5" t="s">
        <v>42</v>
      </c>
      <c r="G116" s="5" t="s">
        <v>43</v>
      </c>
      <c r="H116" s="5" t="s">
        <v>43</v>
      </c>
      <c r="I116" s="5" t="s">
        <v>511</v>
      </c>
      <c r="J116" s="5" t="s">
        <v>270</v>
      </c>
      <c r="K116" s="5" t="s">
        <v>304</v>
      </c>
      <c r="L116" s="5">
        <f>_xlfn.XLOOKUP(TB_Kochi[[#This Row],[MIS_Group1]],PL_Consol!B:B,PL_Consol!C:C)</f>
        <v>26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7">
        <v>0</v>
      </c>
      <c r="W116" s="17">
        <v>0</v>
      </c>
      <c r="X116" s="17">
        <v>0</v>
      </c>
      <c r="Y116" s="17">
        <f>SUM(TB_Kochi[[#This Row],[Apr]:[Mar]])</f>
        <v>0</v>
      </c>
      <c r="Z116" s="89">
        <v>0</v>
      </c>
      <c r="AA116" s="17">
        <v>0</v>
      </c>
      <c r="AB116" s="17">
        <f>IFERROR(_xlfn.XLOOKUP(TB_Kochi[[#This Row],[Description]],[1]trialbalancePDS.rpt!$K$1:$K$65536,[1]trialbalancePDS.rpt!$J$1:$J$65536,0),0)</f>
        <v>0</v>
      </c>
      <c r="AC116" s="17"/>
    </row>
    <row r="117" spans="2:30" x14ac:dyDescent="0.3">
      <c r="B117" s="5" t="s">
        <v>161</v>
      </c>
      <c r="C117" s="5" t="s">
        <v>2</v>
      </c>
      <c r="D117" s="5" t="s">
        <v>198</v>
      </c>
      <c r="E117" s="5" t="s">
        <v>25</v>
      </c>
      <c r="F117" s="5" t="s">
        <v>42</v>
      </c>
      <c r="G117" s="5" t="s">
        <v>43</v>
      </c>
      <c r="H117" s="5" t="s">
        <v>43</v>
      </c>
      <c r="I117" s="5" t="s">
        <v>511</v>
      </c>
      <c r="J117" s="5" t="s">
        <v>270</v>
      </c>
      <c r="K117" s="5" t="s">
        <v>305</v>
      </c>
      <c r="L117" s="5">
        <f>_xlfn.XLOOKUP(TB_Kochi[[#This Row],[MIS_Group1]],PL_Consol!B:B,PL_Consol!C:C)</f>
        <v>26</v>
      </c>
      <c r="M117" s="16">
        <v>0</v>
      </c>
      <c r="N117" s="16">
        <v>0</v>
      </c>
      <c r="O117" s="16">
        <v>67906.850000000006</v>
      </c>
      <c r="P117" s="16">
        <v>70170</v>
      </c>
      <c r="Q117" s="16">
        <v>71139</v>
      </c>
      <c r="R117" s="16">
        <v>0</v>
      </c>
      <c r="S117" s="16">
        <v>143077</v>
      </c>
      <c r="T117" s="16">
        <v>1507717</v>
      </c>
      <c r="U117" s="16">
        <v>161695.22</v>
      </c>
      <c r="V117" s="17">
        <v>17114.22</v>
      </c>
      <c r="W117" s="17">
        <v>15458</v>
      </c>
      <c r="X117" s="17">
        <v>38128.15</v>
      </c>
      <c r="Y117" s="17">
        <f>SUM(TB_Kochi[[#This Row],[Apr]:[Mar]])</f>
        <v>2092405.44</v>
      </c>
      <c r="Z117" s="89">
        <v>2092405.44</v>
      </c>
      <c r="AA117" s="17">
        <v>0</v>
      </c>
      <c r="AB117" s="17">
        <f>IFERROR(_xlfn.XLOOKUP(TB_Kochi[[#This Row],[Description]],[1]trialbalancePDS.rpt!$K$1:$K$65536,[1]trialbalancePDS.rpt!$J$1:$J$65536,0),0)</f>
        <v>0</v>
      </c>
      <c r="AC117" s="17"/>
    </row>
    <row r="118" spans="2:30" x14ac:dyDescent="0.3">
      <c r="B118" s="5" t="s">
        <v>162</v>
      </c>
      <c r="C118" s="5" t="s">
        <v>2</v>
      </c>
      <c r="D118" s="5" t="s">
        <v>198</v>
      </c>
      <c r="E118" s="5" t="s">
        <v>25</v>
      </c>
      <c r="F118" s="5" t="s">
        <v>42</v>
      </c>
      <c r="G118" s="5" t="s">
        <v>43</v>
      </c>
      <c r="H118" s="5" t="s">
        <v>43</v>
      </c>
      <c r="I118" s="5" t="s">
        <v>511</v>
      </c>
      <c r="J118" s="5" t="s">
        <v>270</v>
      </c>
      <c r="K118" s="5" t="s">
        <v>306</v>
      </c>
      <c r="L118" s="5">
        <f>_xlfn.XLOOKUP(TB_Kochi[[#This Row],[MIS_Group1]],PL_Consol!B:B,PL_Consol!C:C)</f>
        <v>26</v>
      </c>
      <c r="M118" s="16">
        <v>0</v>
      </c>
      <c r="N118" s="16">
        <v>73952.63</v>
      </c>
      <c r="O118" s="16">
        <v>0</v>
      </c>
      <c r="P118" s="16">
        <v>205518.9</v>
      </c>
      <c r="Q118" s="16">
        <v>109177.07</v>
      </c>
      <c r="R118" s="16">
        <v>117242.93</v>
      </c>
      <c r="S118" s="16">
        <v>0</v>
      </c>
      <c r="T118" s="16">
        <v>150263.35</v>
      </c>
      <c r="U118" s="16">
        <v>360030.91</v>
      </c>
      <c r="V118" s="17">
        <v>217056.61</v>
      </c>
      <c r="W118" s="17">
        <v>0</v>
      </c>
      <c r="X118" s="17">
        <v>91060.46</v>
      </c>
      <c r="Y118" s="17">
        <f>SUM(TB_Kochi[[#This Row],[Apr]:[Mar]])</f>
        <v>1324302.8599999999</v>
      </c>
      <c r="Z118" s="89">
        <v>1324302.8600000001</v>
      </c>
      <c r="AA118" s="17">
        <v>0</v>
      </c>
      <c r="AB118" s="17">
        <f>IFERROR(_xlfn.XLOOKUP(TB_Kochi[[#This Row],[Description]],[1]trialbalancePDS.rpt!$K$1:$K$65536,[1]trialbalancePDS.rpt!$J$1:$J$65536,0),0)</f>
        <v>0</v>
      </c>
      <c r="AC118" s="17"/>
    </row>
    <row r="119" spans="2:30" x14ac:dyDescent="0.3">
      <c r="B119" s="5" t="s">
        <v>163</v>
      </c>
      <c r="C119" s="5" t="s">
        <v>2</v>
      </c>
      <c r="D119" s="5" t="s">
        <v>198</v>
      </c>
      <c r="E119" s="5" t="s">
        <v>25</v>
      </c>
      <c r="F119" s="5" t="s">
        <v>42</v>
      </c>
      <c r="G119" s="5" t="s">
        <v>43</v>
      </c>
      <c r="H119" s="5" t="s">
        <v>43</v>
      </c>
      <c r="I119" s="5" t="s">
        <v>511</v>
      </c>
      <c r="J119" s="5" t="s">
        <v>307</v>
      </c>
      <c r="K119" s="5" t="s">
        <v>307</v>
      </c>
      <c r="L119" s="5">
        <f>_xlfn.XLOOKUP(TB_Kochi[[#This Row],[MIS_Group1]],PL_Consol!B:B,PL_Consol!C:C)</f>
        <v>22</v>
      </c>
      <c r="M119" s="16">
        <v>0</v>
      </c>
      <c r="N119" s="16">
        <v>0</v>
      </c>
      <c r="O119" s="16">
        <v>0</v>
      </c>
      <c r="P119" s="16">
        <v>0</v>
      </c>
      <c r="Q119" s="16">
        <v>8400</v>
      </c>
      <c r="R119" s="16">
        <v>48000</v>
      </c>
      <c r="S119" s="16">
        <v>41760</v>
      </c>
      <c r="T119" s="16">
        <v>35400</v>
      </c>
      <c r="U119" s="16">
        <v>88136</v>
      </c>
      <c r="V119" s="17">
        <v>63400</v>
      </c>
      <c r="W119" s="17">
        <v>4960</v>
      </c>
      <c r="X119" s="17">
        <v>256942.8</v>
      </c>
      <c r="Y119" s="17">
        <f>SUM(TB_Kochi[[#This Row],[Apr]:[Mar]])</f>
        <v>546998.80000000005</v>
      </c>
      <c r="Z119" s="89">
        <v>546998.80000000005</v>
      </c>
      <c r="AA119" s="17">
        <v>0</v>
      </c>
      <c r="AB119" s="17">
        <f>IFERROR(_xlfn.XLOOKUP(TB_Kochi[[#This Row],[Description]],[1]trialbalancePDS.rpt!$K$1:$K$65536,[1]trialbalancePDS.rpt!$J$1:$J$65536,0),0)</f>
        <v>0</v>
      </c>
      <c r="AC119" s="17"/>
    </row>
    <row r="120" spans="2:30" x14ac:dyDescent="0.3">
      <c r="B120" s="5" t="s">
        <v>164</v>
      </c>
      <c r="C120" s="5" t="s">
        <v>2</v>
      </c>
      <c r="D120" s="5" t="s">
        <v>198</v>
      </c>
      <c r="E120" s="5" t="s">
        <v>25</v>
      </c>
      <c r="F120" s="5" t="s">
        <v>42</v>
      </c>
      <c r="G120" s="5" t="s">
        <v>43</v>
      </c>
      <c r="H120" s="5" t="s">
        <v>43</v>
      </c>
      <c r="I120" s="5" t="s">
        <v>511</v>
      </c>
      <c r="J120" s="5" t="s">
        <v>308</v>
      </c>
      <c r="K120" s="5" t="s">
        <v>308</v>
      </c>
      <c r="L120" s="5">
        <f>_xlfn.XLOOKUP(TB_Kochi[[#This Row],[MIS_Group1]],PL_Consol!B:B,PL_Consol!C:C)</f>
        <v>23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7">
        <v>0</v>
      </c>
      <c r="W120" s="17">
        <v>0</v>
      </c>
      <c r="X120" s="17">
        <v>0</v>
      </c>
      <c r="Y120" s="17">
        <f>SUM(TB_Kochi[[#This Row],[Apr]:[Mar]])</f>
        <v>0</v>
      </c>
      <c r="Z120" s="89">
        <v>0</v>
      </c>
      <c r="AA120" s="17">
        <v>0</v>
      </c>
      <c r="AB120" s="17">
        <f>IFERROR(_xlfn.XLOOKUP(TB_Kochi[[#This Row],[Description]],[1]trialbalancePDS.rpt!$K$1:$K$65536,[1]trialbalancePDS.rpt!$J$1:$J$65536,0),0)</f>
        <v>0</v>
      </c>
      <c r="AC120" s="17"/>
    </row>
    <row r="121" spans="2:30" x14ac:dyDescent="0.3">
      <c r="B121" s="5" t="s">
        <v>43</v>
      </c>
      <c r="C121" s="5" t="s">
        <v>2</v>
      </c>
      <c r="D121" s="5" t="s">
        <v>198</v>
      </c>
      <c r="E121" s="5" t="s">
        <v>25</v>
      </c>
      <c r="F121" s="5" t="s">
        <v>42</v>
      </c>
      <c r="G121" s="5" t="s">
        <v>43</v>
      </c>
      <c r="H121" s="5" t="s">
        <v>43</v>
      </c>
      <c r="I121" s="5" t="s">
        <v>511</v>
      </c>
      <c r="J121" s="5" t="s">
        <v>270</v>
      </c>
      <c r="K121" s="5" t="s">
        <v>271</v>
      </c>
      <c r="L121" s="5">
        <f>_xlfn.XLOOKUP(TB_Kochi[[#This Row],[MIS_Group1]],PL_Consol!B:B,PL_Consol!C:C)</f>
        <v>26</v>
      </c>
      <c r="M121" s="16">
        <v>123010</v>
      </c>
      <c r="N121" s="16">
        <v>6292</v>
      </c>
      <c r="O121" s="16">
        <v>11968</v>
      </c>
      <c r="P121" s="16">
        <v>85685</v>
      </c>
      <c r="Q121" s="16">
        <v>18500</v>
      </c>
      <c r="R121" s="16">
        <v>6455</v>
      </c>
      <c r="S121" s="16">
        <v>11692</v>
      </c>
      <c r="T121" s="16">
        <v>23300</v>
      </c>
      <c r="U121" s="16">
        <v>117238</v>
      </c>
      <c r="V121" s="17">
        <v>91975</v>
      </c>
      <c r="W121" s="17">
        <v>5433</v>
      </c>
      <c r="X121" s="17">
        <v>297570</v>
      </c>
      <c r="Y121" s="17">
        <f>SUM(TB_Kochi[[#This Row],[Apr]:[Mar]])</f>
        <v>799118</v>
      </c>
      <c r="Z121" s="89">
        <v>799118</v>
      </c>
      <c r="AA121" s="17">
        <v>1414</v>
      </c>
      <c r="AB121" s="17">
        <f>IFERROR(_xlfn.XLOOKUP(TB_Kochi[[#This Row],[Description]],[1]trialbalancePDS.rpt!$K$1:$K$65536,[1]trialbalancePDS.rpt!$J$1:$J$65536,0),0)</f>
        <v>91062</v>
      </c>
      <c r="AC121" s="17"/>
    </row>
    <row r="122" spans="2:30" x14ac:dyDescent="0.3">
      <c r="B122" s="5" t="s">
        <v>165</v>
      </c>
      <c r="C122" s="5" t="s">
        <v>2</v>
      </c>
      <c r="D122" s="5" t="s">
        <v>198</v>
      </c>
      <c r="E122" s="5" t="s">
        <v>25</v>
      </c>
      <c r="F122" s="5" t="s">
        <v>42</v>
      </c>
      <c r="G122" s="5" t="s">
        <v>43</v>
      </c>
      <c r="H122" s="5" t="s">
        <v>43</v>
      </c>
      <c r="I122" s="5" t="s">
        <v>511</v>
      </c>
      <c r="J122" s="5" t="s">
        <v>307</v>
      </c>
      <c r="K122" s="5" t="s">
        <v>307</v>
      </c>
      <c r="L122" s="5">
        <f>_xlfn.XLOOKUP(TB_Kochi[[#This Row],[MIS_Group1]],PL_Consol!B:B,PL_Consol!C:C)</f>
        <v>22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11500</v>
      </c>
      <c r="S122" s="16">
        <v>0</v>
      </c>
      <c r="T122" s="16">
        <v>7000</v>
      </c>
      <c r="U122" s="16">
        <v>0</v>
      </c>
      <c r="V122" s="17">
        <v>0</v>
      </c>
      <c r="W122" s="17">
        <v>0</v>
      </c>
      <c r="X122" s="17">
        <v>2070</v>
      </c>
      <c r="Y122" s="17">
        <f>SUM(TB_Kochi[[#This Row],[Apr]:[Mar]])</f>
        <v>20570</v>
      </c>
      <c r="Z122" s="89">
        <v>20570</v>
      </c>
      <c r="AA122" s="17">
        <v>0</v>
      </c>
      <c r="AB122" s="17">
        <f>IFERROR(_xlfn.XLOOKUP(TB_Kochi[[#This Row],[Description]],[1]trialbalancePDS.rpt!$K$1:$K$65536,[1]trialbalancePDS.rpt!$J$1:$J$65536,0),0)</f>
        <v>0</v>
      </c>
      <c r="AC122" s="17"/>
      <c r="AD122" s="24"/>
    </row>
    <row r="123" spans="2:30" x14ac:dyDescent="0.3">
      <c r="B123" s="5" t="s">
        <v>166</v>
      </c>
      <c r="C123" s="5" t="s">
        <v>2</v>
      </c>
      <c r="D123" s="5" t="s">
        <v>198</v>
      </c>
      <c r="E123" s="5" t="s">
        <v>25</v>
      </c>
      <c r="F123" s="5" t="s">
        <v>42</v>
      </c>
      <c r="G123" s="5" t="s">
        <v>43</v>
      </c>
      <c r="H123" s="5" t="s">
        <v>43</v>
      </c>
      <c r="I123" s="5" t="s">
        <v>511</v>
      </c>
      <c r="J123" s="5" t="s">
        <v>270</v>
      </c>
      <c r="K123" s="5" t="s">
        <v>271</v>
      </c>
      <c r="L123" s="5">
        <f>_xlfn.XLOOKUP(TB_Kochi[[#This Row],[MIS_Group1]],PL_Consol!B:B,PL_Consol!C:C)</f>
        <v>26</v>
      </c>
      <c r="M123" s="16">
        <v>966.17</v>
      </c>
      <c r="N123" s="16">
        <v>901.68</v>
      </c>
      <c r="O123" s="16">
        <v>819.19</v>
      </c>
      <c r="P123" s="16">
        <v>777.62</v>
      </c>
      <c r="Q123" s="16">
        <v>739.22</v>
      </c>
      <c r="R123" s="16">
        <v>933.87</v>
      </c>
      <c r="S123" s="16">
        <v>736.56</v>
      </c>
      <c r="T123" s="16">
        <v>728.74</v>
      </c>
      <c r="U123" s="16">
        <v>803.33</v>
      </c>
      <c r="V123" s="17">
        <v>706.37</v>
      </c>
      <c r="W123" s="17">
        <v>602.05999999999995</v>
      </c>
      <c r="X123" s="17">
        <v>920.3700000000016</v>
      </c>
      <c r="Y123" s="17">
        <f>SUM(TB_Kochi[[#This Row],[Apr]:[Mar]])</f>
        <v>9635.18</v>
      </c>
      <c r="Z123" s="89">
        <v>9635.18</v>
      </c>
      <c r="AA123" s="17">
        <v>931.99</v>
      </c>
      <c r="AB123" s="17">
        <f>IFERROR(_xlfn.XLOOKUP(TB_Kochi[[#This Row],[Description]],[1]trialbalancePDS.rpt!$K$1:$K$65536,[1]trialbalancePDS.rpt!$J$1:$J$65536,0),0)</f>
        <v>0.01</v>
      </c>
      <c r="AC123" s="17"/>
    </row>
    <row r="124" spans="2:30" x14ac:dyDescent="0.3">
      <c r="B124" s="5" t="s">
        <v>167</v>
      </c>
      <c r="C124" s="5" t="s">
        <v>2</v>
      </c>
      <c r="D124" s="5" t="s">
        <v>198</v>
      </c>
      <c r="E124" s="5" t="s">
        <v>25</v>
      </c>
      <c r="F124" s="5" t="s">
        <v>42</v>
      </c>
      <c r="G124" s="5" t="s">
        <v>43</v>
      </c>
      <c r="H124" s="5" t="s">
        <v>43</v>
      </c>
      <c r="I124" s="5" t="s">
        <v>511</v>
      </c>
      <c r="J124" s="5" t="s">
        <v>272</v>
      </c>
      <c r="K124" s="5" t="s">
        <v>273</v>
      </c>
      <c r="L124" s="5">
        <f>_xlfn.XLOOKUP(TB_Kochi[[#This Row],[MIS_Group1]],PL_Consol!B:B,PL_Consol!C:C)</f>
        <v>10</v>
      </c>
      <c r="M124" s="16">
        <v>0</v>
      </c>
      <c r="N124" s="16">
        <v>522232</v>
      </c>
      <c r="O124" s="16">
        <v>573203</v>
      </c>
      <c r="P124" s="16">
        <v>1322028</v>
      </c>
      <c r="Q124" s="16">
        <v>1395804</v>
      </c>
      <c r="R124" s="16">
        <v>513436</v>
      </c>
      <c r="S124" s="16">
        <v>598393</v>
      </c>
      <c r="T124" s="16">
        <v>55683</v>
      </c>
      <c r="U124" s="16">
        <v>1585193</v>
      </c>
      <c r="V124" s="17">
        <v>683537</v>
      </c>
      <c r="W124" s="17">
        <v>799662</v>
      </c>
      <c r="X124" s="17">
        <v>1520212</v>
      </c>
      <c r="Y124" s="17">
        <f>SUM(TB_Kochi[[#This Row],[Apr]:[Mar]])</f>
        <v>9569383</v>
      </c>
      <c r="Z124" s="89">
        <v>9569383</v>
      </c>
      <c r="AA124" s="17">
        <v>920150</v>
      </c>
      <c r="AB124" s="17">
        <f>IFERROR(_xlfn.XLOOKUP(TB_Kochi[[#This Row],[Description]],[1]trialbalancePDS.rpt!$K$1:$K$65536,[1]trialbalancePDS.rpt!$J$1:$J$65536,0),0)</f>
        <v>796994</v>
      </c>
      <c r="AC124" s="17"/>
    </row>
    <row r="125" spans="2:30" x14ac:dyDescent="0.3">
      <c r="B125" s="5" t="s">
        <v>168</v>
      </c>
      <c r="C125" s="5" t="s">
        <v>2</v>
      </c>
      <c r="D125" s="5" t="s">
        <v>198</v>
      </c>
      <c r="E125" s="5" t="s">
        <v>25</v>
      </c>
      <c r="F125" s="5" t="s">
        <v>42</v>
      </c>
      <c r="G125" s="5" t="s">
        <v>43</v>
      </c>
      <c r="H125" s="5" t="s">
        <v>43</v>
      </c>
      <c r="I125" s="5" t="s">
        <v>511</v>
      </c>
      <c r="J125" s="5" t="s">
        <v>270</v>
      </c>
      <c r="K125" s="5" t="s">
        <v>309</v>
      </c>
      <c r="L125" s="5">
        <f>_xlfn.XLOOKUP(TB_Kochi[[#This Row],[MIS_Group1]],PL_Consol!B:B,PL_Consol!C:C)</f>
        <v>26</v>
      </c>
      <c r="M125" s="16">
        <v>0</v>
      </c>
      <c r="N125" s="16">
        <v>37206</v>
      </c>
      <c r="O125" s="16">
        <v>0</v>
      </c>
      <c r="P125" s="16">
        <v>74809.42</v>
      </c>
      <c r="Q125" s="16">
        <v>0</v>
      </c>
      <c r="R125" s="16">
        <v>78877</v>
      </c>
      <c r="S125" s="16">
        <v>37619</v>
      </c>
      <c r="T125" s="16">
        <v>37911</v>
      </c>
      <c r="U125" s="16">
        <v>38036</v>
      </c>
      <c r="V125" s="17">
        <v>38091</v>
      </c>
      <c r="W125" s="17">
        <v>37970</v>
      </c>
      <c r="X125" s="17">
        <v>72470.58</v>
      </c>
      <c r="Y125" s="17">
        <f>SUM(TB_Kochi[[#This Row],[Apr]:[Mar]])</f>
        <v>452990</v>
      </c>
      <c r="Z125" s="89">
        <v>452990</v>
      </c>
      <c r="AA125" s="17">
        <v>38368</v>
      </c>
      <c r="AB125" s="17">
        <f>IFERROR(_xlfn.XLOOKUP(TB_Kochi[[#This Row],[Description]],[1]trialbalancePDS.rpt!$K$1:$K$65536,[1]trialbalancePDS.rpt!$J$1:$J$65536,0),0)</f>
        <v>38444</v>
      </c>
      <c r="AC125" s="17"/>
    </row>
    <row r="126" spans="2:30" x14ac:dyDescent="0.3">
      <c r="B126" s="5" t="s">
        <v>169</v>
      </c>
      <c r="C126" s="5" t="s">
        <v>2</v>
      </c>
      <c r="D126" s="5" t="s">
        <v>198</v>
      </c>
      <c r="E126" s="5" t="s">
        <v>25</v>
      </c>
      <c r="F126" s="5" t="s">
        <v>42</v>
      </c>
      <c r="G126" s="5" t="s">
        <v>43</v>
      </c>
      <c r="H126" s="5" t="s">
        <v>43</v>
      </c>
      <c r="I126" s="5" t="s">
        <v>511</v>
      </c>
      <c r="J126" s="5" t="s">
        <v>270</v>
      </c>
      <c r="K126" s="5" t="s">
        <v>305</v>
      </c>
      <c r="L126" s="5">
        <f>_xlfn.XLOOKUP(TB_Kochi[[#This Row],[MIS_Group1]],PL_Consol!B:B,PL_Consol!C:C)</f>
        <v>26</v>
      </c>
      <c r="M126" s="16">
        <v>24809</v>
      </c>
      <c r="N126" s="16">
        <v>36542</v>
      </c>
      <c r="O126" s="16">
        <v>35528</v>
      </c>
      <c r="P126" s="16">
        <v>19028</v>
      </c>
      <c r="Q126" s="16">
        <v>317361</v>
      </c>
      <c r="R126" s="16">
        <v>210646</v>
      </c>
      <c r="S126" s="16">
        <v>245977</v>
      </c>
      <c r="T126" s="16">
        <v>298714.71000000002</v>
      </c>
      <c r="U126" s="16">
        <v>306147.43</v>
      </c>
      <c r="V126" s="17">
        <v>302148.43</v>
      </c>
      <c r="W126" s="17">
        <v>297110.26</v>
      </c>
      <c r="X126" s="17">
        <v>1128917.58</v>
      </c>
      <c r="Y126" s="17">
        <f>SUM(TB_Kochi[[#This Row],[Apr]:[Mar]])</f>
        <v>3222929.41</v>
      </c>
      <c r="Z126" s="89">
        <v>3222929.41</v>
      </c>
      <c r="AA126" s="17">
        <v>379532.79999999999</v>
      </c>
      <c r="AB126" s="17">
        <f>IFERROR(_xlfn.XLOOKUP(TB_Kochi[[#This Row],[Description]],[1]trialbalancePDS.rpt!$K$1:$K$65536,[1]trialbalancePDS.rpt!$J$1:$J$65536,0),0)</f>
        <v>318123.99</v>
      </c>
      <c r="AC126" s="17"/>
    </row>
    <row r="127" spans="2:30" x14ac:dyDescent="0.3">
      <c r="B127" s="5" t="s">
        <v>28</v>
      </c>
      <c r="C127" s="5" t="s">
        <v>2</v>
      </c>
      <c r="D127" s="5" t="s">
        <v>198</v>
      </c>
      <c r="E127" s="5" t="s">
        <v>25</v>
      </c>
      <c r="F127" s="5" t="s">
        <v>42</v>
      </c>
      <c r="G127" s="5" t="s">
        <v>27</v>
      </c>
      <c r="H127" s="5" t="s">
        <v>28</v>
      </c>
      <c r="I127" s="5" t="s">
        <v>511</v>
      </c>
      <c r="J127" s="5" t="s">
        <v>28</v>
      </c>
      <c r="K127" s="5" t="s">
        <v>310</v>
      </c>
      <c r="L127" s="5">
        <f>_xlfn.XLOOKUP(TB_Kochi[[#This Row],[MIS_Group1]],PL_Consol!B:B,PL_Consol!C:C)</f>
        <v>18</v>
      </c>
      <c r="M127" s="16">
        <v>1141316.3700000001</v>
      </c>
      <c r="N127" s="16">
        <v>1728971.28</v>
      </c>
      <c r="O127" s="16">
        <v>1346863.63</v>
      </c>
      <c r="P127" s="16">
        <v>1643896.8</v>
      </c>
      <c r="Q127" s="16">
        <v>1380242.42</v>
      </c>
      <c r="R127" s="16">
        <v>1439390.64</v>
      </c>
      <c r="S127" s="16">
        <v>1762997.24</v>
      </c>
      <c r="T127" s="16">
        <v>1157404.22</v>
      </c>
      <c r="U127" s="16">
        <v>1390757.11</v>
      </c>
      <c r="V127" s="17">
        <v>1401311.07</v>
      </c>
      <c r="W127" s="17">
        <v>1745775.35</v>
      </c>
      <c r="X127" s="17">
        <v>1935753.11</v>
      </c>
      <c r="Y127" s="17">
        <f>SUM(TB_Kochi[[#This Row],[Apr]:[Mar]])</f>
        <v>18074679.240000002</v>
      </c>
      <c r="Z127" s="89">
        <v>18074679.239999998</v>
      </c>
      <c r="AA127" s="17">
        <v>1891943.29</v>
      </c>
      <c r="AB127" s="17">
        <f>IFERROR(_xlfn.XLOOKUP(TB_Kochi[[#This Row],[Description]],[1]trialbalancePDS.rpt!$K$1:$K$65536,[1]trialbalancePDS.rpt!$J$1:$J$65536,0),0)</f>
        <v>1791119.7</v>
      </c>
      <c r="AC127" s="17"/>
    </row>
    <row r="128" spans="2:30" x14ac:dyDescent="0.3">
      <c r="B128" s="5" t="s">
        <v>29</v>
      </c>
      <c r="C128" s="5" t="s">
        <v>2</v>
      </c>
      <c r="D128" s="5" t="s">
        <v>198</v>
      </c>
      <c r="E128" s="5" t="s">
        <v>25</v>
      </c>
      <c r="F128" s="5" t="s">
        <v>42</v>
      </c>
      <c r="G128" s="5" t="s">
        <v>27</v>
      </c>
      <c r="H128" s="5" t="s">
        <v>29</v>
      </c>
      <c r="I128" s="5" t="s">
        <v>511</v>
      </c>
      <c r="J128" s="5" t="s">
        <v>311</v>
      </c>
      <c r="K128" s="5" t="s">
        <v>312</v>
      </c>
      <c r="L128" s="5">
        <f>_xlfn.XLOOKUP(TB_Kochi[[#This Row],[MIS_Group1]],PL_Consol!B:B,PL_Consol!C:C)</f>
        <v>13</v>
      </c>
      <c r="M128" s="16">
        <v>0</v>
      </c>
      <c r="N128" s="16">
        <v>93359</v>
      </c>
      <c r="O128" s="16">
        <v>56000</v>
      </c>
      <c r="P128" s="16">
        <v>76000</v>
      </c>
      <c r="Q128" s="16">
        <v>0</v>
      </c>
      <c r="R128" s="16">
        <v>112000</v>
      </c>
      <c r="S128" s="16">
        <v>91724</v>
      </c>
      <c r="T128" s="16">
        <v>87000</v>
      </c>
      <c r="U128" s="16">
        <v>0</v>
      </c>
      <c r="V128" s="17">
        <v>123400</v>
      </c>
      <c r="W128" s="17">
        <v>0</v>
      </c>
      <c r="X128" s="17">
        <v>316149.15999999997</v>
      </c>
      <c r="Y128" s="17">
        <f>SUM(TB_Kochi[[#This Row],[Apr]:[Mar]])</f>
        <v>955632.15999999992</v>
      </c>
      <c r="Z128" s="89">
        <v>955632.16</v>
      </c>
      <c r="AA128" s="17">
        <v>56000</v>
      </c>
      <c r="AB128" s="17">
        <f>IFERROR(_xlfn.XLOOKUP(TB_Kochi[[#This Row],[Description]],[1]trialbalancePDS.rpt!$K$1:$K$65536,[1]trialbalancePDS.rpt!$J$1:$J$65536,0),0)</f>
        <v>221000</v>
      </c>
      <c r="AC128" s="17"/>
    </row>
    <row r="129" spans="2:29" x14ac:dyDescent="0.3">
      <c r="B129" s="5" t="s">
        <v>170</v>
      </c>
      <c r="C129" s="5" t="s">
        <v>2</v>
      </c>
      <c r="D129" s="5" t="s">
        <v>198</v>
      </c>
      <c r="E129" s="5" t="s">
        <v>25</v>
      </c>
      <c r="F129" s="5" t="s">
        <v>42</v>
      </c>
      <c r="G129" s="5" t="s">
        <v>27</v>
      </c>
      <c r="H129" s="5" t="s">
        <v>29</v>
      </c>
      <c r="I129" s="5" t="s">
        <v>511</v>
      </c>
      <c r="J129" s="5" t="s">
        <v>205</v>
      </c>
      <c r="K129" s="5" t="s">
        <v>274</v>
      </c>
      <c r="L129" s="5">
        <f>_xlfn.XLOOKUP(TB_Kochi[[#This Row],[MIS_Group1]],PL_Consol!B:B,PL_Consol!C:C)</f>
        <v>9</v>
      </c>
      <c r="M129" s="16">
        <v>0</v>
      </c>
      <c r="N129" s="16">
        <v>5000</v>
      </c>
      <c r="O129" s="16">
        <v>0</v>
      </c>
      <c r="P129" s="16">
        <v>0</v>
      </c>
      <c r="Q129" s="16">
        <v>0</v>
      </c>
      <c r="R129" s="16">
        <v>12500</v>
      </c>
      <c r="S129" s="16">
        <v>0</v>
      </c>
      <c r="T129" s="16">
        <v>0</v>
      </c>
      <c r="U129" s="16">
        <v>0</v>
      </c>
      <c r="V129" s="17">
        <v>0</v>
      </c>
      <c r="W129" s="17">
        <v>11800</v>
      </c>
      <c r="X129" s="17">
        <v>0</v>
      </c>
      <c r="Y129" s="17">
        <f>SUM(TB_Kochi[[#This Row],[Apr]:[Mar]])</f>
        <v>29300</v>
      </c>
      <c r="Z129" s="89">
        <v>29300</v>
      </c>
      <c r="AA129" s="17">
        <v>0</v>
      </c>
      <c r="AB129" s="17">
        <f>IFERROR(_xlfn.XLOOKUP(TB_Kochi[[#This Row],[Description]],[1]trialbalancePDS.rpt!$K$1:$K$65536,[1]trialbalancePDS.rpt!$J$1:$J$65536,0),0)</f>
        <v>0</v>
      </c>
      <c r="AC129" s="17"/>
    </row>
    <row r="130" spans="2:29" x14ac:dyDescent="0.3">
      <c r="B130" s="5" t="s">
        <v>171</v>
      </c>
      <c r="C130" s="5" t="s">
        <v>2</v>
      </c>
      <c r="D130" s="5" t="s">
        <v>198</v>
      </c>
      <c r="E130" s="5" t="s">
        <v>25</v>
      </c>
      <c r="F130" s="5" t="s">
        <v>42</v>
      </c>
      <c r="G130" s="5" t="s">
        <v>27</v>
      </c>
      <c r="H130" s="5" t="s">
        <v>29</v>
      </c>
      <c r="I130" s="5" t="s">
        <v>511</v>
      </c>
      <c r="J130" s="5" t="s">
        <v>272</v>
      </c>
      <c r="K130" s="5" t="s">
        <v>273</v>
      </c>
      <c r="L130" s="5">
        <f>_xlfn.XLOOKUP(TB_Kochi[[#This Row],[MIS_Group1]],PL_Consol!B:B,PL_Consol!C:C)</f>
        <v>10</v>
      </c>
      <c r="M130" s="16">
        <v>0</v>
      </c>
      <c r="N130" s="16">
        <v>0</v>
      </c>
      <c r="O130" s="16">
        <v>0</v>
      </c>
      <c r="P130" s="16">
        <v>500293</v>
      </c>
      <c r="Q130" s="16">
        <v>0</v>
      </c>
      <c r="R130" s="16">
        <v>0</v>
      </c>
      <c r="S130" s="16">
        <v>542159</v>
      </c>
      <c r="T130" s="16">
        <v>0</v>
      </c>
      <c r="U130" s="16">
        <v>0</v>
      </c>
      <c r="V130" s="17">
        <v>560904</v>
      </c>
      <c r="W130" s="17">
        <v>0</v>
      </c>
      <c r="X130" s="17">
        <v>0</v>
      </c>
      <c r="Y130" s="17">
        <f>SUM(TB_Kochi[[#This Row],[Apr]:[Mar]])</f>
        <v>1603356</v>
      </c>
      <c r="Z130" s="89">
        <v>1603356</v>
      </c>
      <c r="AA130" s="17">
        <v>0</v>
      </c>
      <c r="AB130" s="17">
        <f>IFERROR(_xlfn.XLOOKUP(TB_Kochi[[#This Row],[Description]],[1]trialbalancePDS.rpt!$K$1:$K$65536,[1]trialbalancePDS.rpt!$J$1:$J$65536,0),0)</f>
        <v>586731.80000000005</v>
      </c>
      <c r="AC130" s="17"/>
    </row>
    <row r="131" spans="2:29" x14ac:dyDescent="0.3">
      <c r="B131" s="5" t="s">
        <v>172</v>
      </c>
      <c r="C131" s="5" t="s">
        <v>2</v>
      </c>
      <c r="D131" s="5" t="s">
        <v>198</v>
      </c>
      <c r="E131" s="5" t="s">
        <v>25</v>
      </c>
      <c r="F131" s="5" t="s">
        <v>42</v>
      </c>
      <c r="G131" s="5" t="s">
        <v>27</v>
      </c>
      <c r="H131" s="5" t="s">
        <v>29</v>
      </c>
      <c r="I131" s="5" t="s">
        <v>511</v>
      </c>
      <c r="J131" s="5" t="s">
        <v>311</v>
      </c>
      <c r="K131" s="5" t="s">
        <v>313</v>
      </c>
      <c r="L131" s="5">
        <f>_xlfn.XLOOKUP(TB_Kochi[[#This Row],[MIS_Group1]],PL_Consol!B:B,PL_Consol!C:C)</f>
        <v>13</v>
      </c>
      <c r="M131" s="16">
        <v>0</v>
      </c>
      <c r="N131" s="16">
        <v>0</v>
      </c>
      <c r="O131" s="16">
        <v>0</v>
      </c>
      <c r="P131" s="16">
        <v>440700</v>
      </c>
      <c r="Q131" s="16">
        <v>0</v>
      </c>
      <c r="R131" s="16">
        <v>0</v>
      </c>
      <c r="S131" s="16">
        <v>302773</v>
      </c>
      <c r="T131" s="16">
        <v>0</v>
      </c>
      <c r="U131" s="16">
        <v>0</v>
      </c>
      <c r="V131" s="17">
        <v>0</v>
      </c>
      <c r="W131" s="17">
        <v>0</v>
      </c>
      <c r="X131" s="17">
        <v>0</v>
      </c>
      <c r="Y131" s="17">
        <f>SUM(TB_Kochi[[#This Row],[Apr]:[Mar]])</f>
        <v>743473</v>
      </c>
      <c r="Z131" s="89">
        <v>743473</v>
      </c>
      <c r="AA131" s="17">
        <v>0</v>
      </c>
      <c r="AB131" s="17">
        <f>IFERROR(_xlfn.XLOOKUP(TB_Kochi[[#This Row],[Description]],[1]trialbalancePDS.rpt!$K$1:$K$65536,[1]trialbalancePDS.rpt!$J$1:$J$65536,0),0)</f>
        <v>0</v>
      </c>
      <c r="AC131" s="17"/>
    </row>
    <row r="132" spans="2:29" x14ac:dyDescent="0.3">
      <c r="B132" s="5" t="s">
        <v>173</v>
      </c>
      <c r="C132" s="5" t="s">
        <v>2</v>
      </c>
      <c r="D132" s="5" t="s">
        <v>198</v>
      </c>
      <c r="E132" s="5" t="s">
        <v>25</v>
      </c>
      <c r="F132" s="5" t="s">
        <v>42</v>
      </c>
      <c r="G132" s="5" t="s">
        <v>27</v>
      </c>
      <c r="H132" s="5" t="s">
        <v>29</v>
      </c>
      <c r="I132" s="5" t="s">
        <v>511</v>
      </c>
      <c r="J132" s="5" t="s">
        <v>272</v>
      </c>
      <c r="K132" s="5" t="s">
        <v>273</v>
      </c>
      <c r="L132" s="5">
        <f>_xlfn.XLOOKUP(TB_Kochi[[#This Row],[MIS_Group1]],PL_Consol!B:B,PL_Consol!C:C)</f>
        <v>10</v>
      </c>
      <c r="M132" s="16">
        <v>-15000</v>
      </c>
      <c r="N132" s="16">
        <v>45500</v>
      </c>
      <c r="O132" s="16">
        <v>-45500</v>
      </c>
      <c r="P132" s="16">
        <v>0</v>
      </c>
      <c r="Q132" s="16">
        <v>0</v>
      </c>
      <c r="R132" s="16">
        <v>0</v>
      </c>
      <c r="S132" s="16">
        <v>5000</v>
      </c>
      <c r="T132" s="16">
        <v>5000</v>
      </c>
      <c r="U132" s="16">
        <v>-5000</v>
      </c>
      <c r="V132" s="17">
        <v>-3500</v>
      </c>
      <c r="W132" s="17">
        <v>3500</v>
      </c>
      <c r="X132" s="17">
        <v>0</v>
      </c>
      <c r="Y132" s="17">
        <f>SUM(TB_Kochi[[#This Row],[Apr]:[Mar]])</f>
        <v>-10000</v>
      </c>
      <c r="Z132" s="89">
        <v>-10000</v>
      </c>
      <c r="AA132" s="17">
        <v>44500</v>
      </c>
      <c r="AB132" s="17">
        <f>IFERROR(_xlfn.XLOOKUP(TB_Kochi[[#This Row],[Description]],[1]trialbalancePDS.rpt!$K$1:$K$65536,[1]trialbalancePDS.rpt!$J$1:$J$65536,0),0)</f>
        <v>0</v>
      </c>
      <c r="AC132" s="17"/>
    </row>
    <row r="133" spans="2:29" x14ac:dyDescent="0.3">
      <c r="B133" s="5" t="s">
        <v>174</v>
      </c>
      <c r="C133" s="5" t="s">
        <v>2</v>
      </c>
      <c r="D133" s="5" t="s">
        <v>198</v>
      </c>
      <c r="E133" s="5" t="s">
        <v>25</v>
      </c>
      <c r="F133" s="5" t="s">
        <v>42</v>
      </c>
      <c r="G133" s="5" t="s">
        <v>27</v>
      </c>
      <c r="H133" s="5" t="s">
        <v>29</v>
      </c>
      <c r="I133" s="5" t="s">
        <v>511</v>
      </c>
      <c r="J133" s="5" t="s">
        <v>272</v>
      </c>
      <c r="K133" s="5" t="s">
        <v>273</v>
      </c>
      <c r="L133" s="5">
        <f>_xlfn.XLOOKUP(TB_Kochi[[#This Row],[MIS_Group1]],PL_Consol!B:B,PL_Consol!C:C)</f>
        <v>10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7">
        <v>0</v>
      </c>
      <c r="W133" s="17">
        <v>0</v>
      </c>
      <c r="X133" s="17">
        <v>0</v>
      </c>
      <c r="Y133" s="17">
        <f>SUM(TB_Kochi[[#This Row],[Apr]:[Mar]])</f>
        <v>0</v>
      </c>
      <c r="Z133" s="89">
        <v>0</v>
      </c>
      <c r="AA133" s="17">
        <v>0</v>
      </c>
      <c r="AB133" s="17">
        <f>IFERROR(_xlfn.XLOOKUP(TB_Kochi[[#This Row],[Description]],[1]trialbalancePDS.rpt!$K$1:$K$65536,[1]trialbalancePDS.rpt!$J$1:$J$65536,0),0)</f>
        <v>0</v>
      </c>
      <c r="AC133" s="17"/>
    </row>
    <row r="134" spans="2:29" x14ac:dyDescent="0.3">
      <c r="B134" s="5" t="s">
        <v>175</v>
      </c>
      <c r="C134" s="5" t="s">
        <v>2</v>
      </c>
      <c r="D134" s="5" t="s">
        <v>198</v>
      </c>
      <c r="E134" s="5" t="s">
        <v>25</v>
      </c>
      <c r="F134" s="5" t="s">
        <v>42</v>
      </c>
      <c r="G134" s="5" t="s">
        <v>27</v>
      </c>
      <c r="H134" s="5" t="s">
        <v>29</v>
      </c>
      <c r="I134" s="5" t="s">
        <v>511</v>
      </c>
      <c r="J134" s="5" t="s">
        <v>272</v>
      </c>
      <c r="K134" s="5" t="s">
        <v>273</v>
      </c>
      <c r="L134" s="5">
        <f>_xlfn.XLOOKUP(TB_Kochi[[#This Row],[MIS_Group1]],PL_Consol!B:B,PL_Consol!C:C)</f>
        <v>10</v>
      </c>
      <c r="M134" s="16">
        <v>0</v>
      </c>
      <c r="N134" s="16">
        <v>19246</v>
      </c>
      <c r="O134" s="16">
        <v>21753</v>
      </c>
      <c r="P134" s="16">
        <v>32996</v>
      </c>
      <c r="Q134" s="16">
        <v>20254</v>
      </c>
      <c r="R134" s="16">
        <v>24401</v>
      </c>
      <c r="S134" s="16">
        <v>25929</v>
      </c>
      <c r="T134" s="16">
        <v>0</v>
      </c>
      <c r="U134" s="16">
        <v>0</v>
      </c>
      <c r="V134" s="17">
        <v>0</v>
      </c>
      <c r="W134" s="17">
        <v>0</v>
      </c>
      <c r="X134" s="17">
        <v>0</v>
      </c>
      <c r="Y134" s="17">
        <f>SUM(TB_Kochi[[#This Row],[Apr]:[Mar]])</f>
        <v>144579</v>
      </c>
      <c r="Z134" s="89">
        <v>144579</v>
      </c>
      <c r="AA134" s="17">
        <v>0</v>
      </c>
      <c r="AB134" s="17">
        <f>IFERROR(_xlfn.XLOOKUP(TB_Kochi[[#This Row],[Description]],[1]trialbalancePDS.rpt!$K$1:$K$65536,[1]trialbalancePDS.rpt!$J$1:$J$65536,0),0)</f>
        <v>0</v>
      </c>
      <c r="AC134" s="17"/>
    </row>
    <row r="135" spans="2:29" x14ac:dyDescent="0.3">
      <c r="B135" s="5" t="s">
        <v>176</v>
      </c>
      <c r="C135" s="5" t="s">
        <v>2</v>
      </c>
      <c r="D135" s="5" t="s">
        <v>198</v>
      </c>
      <c r="E135" s="5" t="s">
        <v>25</v>
      </c>
      <c r="F135" s="5" t="s">
        <v>42</v>
      </c>
      <c r="G135" s="5" t="s">
        <v>27</v>
      </c>
      <c r="H135" s="5" t="s">
        <v>29</v>
      </c>
      <c r="I135" s="5" t="s">
        <v>511</v>
      </c>
      <c r="J135" s="5" t="s">
        <v>272</v>
      </c>
      <c r="K135" s="5" t="s">
        <v>273</v>
      </c>
      <c r="L135" s="5">
        <f>_xlfn.XLOOKUP(TB_Kochi[[#This Row],[MIS_Group1]],PL_Consol!B:B,PL_Consol!C:C)</f>
        <v>10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2001</v>
      </c>
      <c r="S135" s="16">
        <v>0</v>
      </c>
      <c r="T135" s="16">
        <v>0</v>
      </c>
      <c r="U135" s="16">
        <v>0</v>
      </c>
      <c r="V135" s="17">
        <v>0</v>
      </c>
      <c r="W135" s="17">
        <v>0</v>
      </c>
      <c r="X135" s="17">
        <v>0</v>
      </c>
      <c r="Y135" s="17">
        <f>SUM(TB_Kochi[[#This Row],[Apr]:[Mar]])</f>
        <v>2001</v>
      </c>
      <c r="Z135" s="89">
        <v>2001</v>
      </c>
      <c r="AA135" s="17">
        <v>0</v>
      </c>
      <c r="AB135" s="17">
        <f>IFERROR(_xlfn.XLOOKUP(TB_Kochi[[#This Row],[Description]],[1]trialbalancePDS.rpt!$K$1:$K$65536,[1]trialbalancePDS.rpt!$J$1:$J$65536,0),0)</f>
        <v>0</v>
      </c>
      <c r="AC135" s="17"/>
    </row>
    <row r="136" spans="2:29" x14ac:dyDescent="0.3">
      <c r="B136" s="5" t="s">
        <v>177</v>
      </c>
      <c r="C136" s="5" t="s">
        <v>2</v>
      </c>
      <c r="D136" s="5" t="s">
        <v>198</v>
      </c>
      <c r="E136" s="5" t="s">
        <v>25</v>
      </c>
      <c r="F136" s="5" t="s">
        <v>42</v>
      </c>
      <c r="G136" s="5" t="s">
        <v>27</v>
      </c>
      <c r="H136" s="5" t="s">
        <v>29</v>
      </c>
      <c r="I136" s="5" t="s">
        <v>511</v>
      </c>
      <c r="J136" s="5" t="s">
        <v>270</v>
      </c>
      <c r="K136" s="5" t="s">
        <v>314</v>
      </c>
      <c r="L136" s="5">
        <f>_xlfn.XLOOKUP(TB_Kochi[[#This Row],[MIS_Group1]],PL_Consol!B:B,PL_Consol!C:C)</f>
        <v>26</v>
      </c>
      <c r="M136" s="16">
        <v>116250</v>
      </c>
      <c r="N136" s="16">
        <v>0</v>
      </c>
      <c r="O136" s="16">
        <v>0</v>
      </c>
      <c r="P136" s="16">
        <v>0</v>
      </c>
      <c r="Q136" s="16">
        <v>170000</v>
      </c>
      <c r="R136" s="16">
        <v>0</v>
      </c>
      <c r="S136" s="16">
        <v>100000</v>
      </c>
      <c r="T136" s="16">
        <v>350000</v>
      </c>
      <c r="U136" s="16">
        <v>0</v>
      </c>
      <c r="V136" s="17">
        <v>19179.45</v>
      </c>
      <c r="W136" s="17">
        <v>0</v>
      </c>
      <c r="X136" s="17">
        <v>132525</v>
      </c>
      <c r="Y136" s="17">
        <f>SUM(TB_Kochi[[#This Row],[Apr]:[Mar]])</f>
        <v>887954.45</v>
      </c>
      <c r="Z136" s="89">
        <v>887954.45</v>
      </c>
      <c r="AA136" s="17">
        <v>0</v>
      </c>
      <c r="AB136" s="17">
        <f>IFERROR(_xlfn.XLOOKUP(TB_Kochi[[#This Row],[Description]],[1]trialbalancePDS.rpt!$K$1:$K$65536,[1]trialbalancePDS.rpt!$J$1:$J$65536,0),0)</f>
        <v>0</v>
      </c>
      <c r="AC136" s="17"/>
    </row>
    <row r="137" spans="2:29" x14ac:dyDescent="0.3">
      <c r="B137" s="5" t="s">
        <v>178</v>
      </c>
      <c r="C137" s="5" t="s">
        <v>2</v>
      </c>
      <c r="D137" s="5" t="s">
        <v>198</v>
      </c>
      <c r="E137" s="5" t="s">
        <v>25</v>
      </c>
      <c r="F137" s="5" t="s">
        <v>42</v>
      </c>
      <c r="G137" s="5" t="s">
        <v>27</v>
      </c>
      <c r="H137" s="5" t="s">
        <v>30</v>
      </c>
      <c r="I137" s="5" t="s">
        <v>511</v>
      </c>
      <c r="J137" s="5" t="s">
        <v>270</v>
      </c>
      <c r="K137" s="5" t="s">
        <v>271</v>
      </c>
      <c r="L137" s="5">
        <f>_xlfn.XLOOKUP(TB_Kochi[[#This Row],[MIS_Group1]],PL_Consol!B:B,PL_Consol!C:C)</f>
        <v>26</v>
      </c>
      <c r="M137" s="16">
        <v>5000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7">
        <v>10000</v>
      </c>
      <c r="W137" s="17">
        <v>0</v>
      </c>
      <c r="X137" s="17">
        <v>175000</v>
      </c>
      <c r="Y137" s="17">
        <f>SUM(TB_Kochi[[#This Row],[Apr]:[Mar]])</f>
        <v>190000</v>
      </c>
      <c r="Z137" s="89">
        <v>190000</v>
      </c>
      <c r="AA137" s="17">
        <v>0</v>
      </c>
      <c r="AB137" s="17">
        <f>IFERROR(_xlfn.XLOOKUP(TB_Kochi[[#This Row],[Description]],[1]trialbalancePDS.rpt!$K$1:$K$65536,[1]trialbalancePDS.rpt!$J$1:$J$65536,0),0)</f>
        <v>3500</v>
      </c>
      <c r="AC137" s="17"/>
    </row>
    <row r="138" spans="2:29" x14ac:dyDescent="0.3">
      <c r="B138" s="5" t="s">
        <v>179</v>
      </c>
      <c r="C138" s="5" t="s">
        <v>2</v>
      </c>
      <c r="D138" s="5" t="s">
        <v>198</v>
      </c>
      <c r="E138" s="5" t="s">
        <v>25</v>
      </c>
      <c r="F138" s="5" t="s">
        <v>42</v>
      </c>
      <c r="G138" s="5" t="s">
        <v>27</v>
      </c>
      <c r="H138" s="5" t="s">
        <v>30</v>
      </c>
      <c r="I138" s="5" t="s">
        <v>511</v>
      </c>
      <c r="J138" s="5" t="s">
        <v>315</v>
      </c>
      <c r="K138" s="5" t="s">
        <v>315</v>
      </c>
      <c r="L138" s="5">
        <f>_xlfn.XLOOKUP(TB_Kochi[[#This Row],[MIS_Group1]],PL_Consol!B:B,PL_Consol!C:C)</f>
        <v>20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7">
        <v>0</v>
      </c>
      <c r="W138" s="17">
        <v>0</v>
      </c>
      <c r="X138" s="17">
        <v>0</v>
      </c>
      <c r="Y138" s="17">
        <f>SUM(TB_Kochi[[#This Row],[Apr]:[Mar]])</f>
        <v>0</v>
      </c>
      <c r="Z138" s="89">
        <v>0</v>
      </c>
      <c r="AA138" s="17">
        <v>0</v>
      </c>
      <c r="AB138" s="17">
        <f>IFERROR(_xlfn.XLOOKUP(TB_Kochi[[#This Row],[Description]],[1]trialbalancePDS.rpt!$K$1:$K$65536,[1]trialbalancePDS.rpt!$J$1:$J$65536,0),0)</f>
        <v>6840</v>
      </c>
      <c r="AC138" s="17"/>
    </row>
    <row r="139" spans="2:29" x14ac:dyDescent="0.3">
      <c r="B139" s="5" t="s">
        <v>180</v>
      </c>
      <c r="C139" s="5" t="s">
        <v>2</v>
      </c>
      <c r="D139" s="5" t="s">
        <v>198</v>
      </c>
      <c r="E139" s="5" t="s">
        <v>25</v>
      </c>
      <c r="F139" s="5" t="s">
        <v>42</v>
      </c>
      <c r="G139" s="5" t="s">
        <v>27</v>
      </c>
      <c r="H139" s="5" t="s">
        <v>30</v>
      </c>
      <c r="I139" s="5" t="s">
        <v>511</v>
      </c>
      <c r="J139" s="5" t="s">
        <v>315</v>
      </c>
      <c r="K139" s="5" t="s">
        <v>315</v>
      </c>
      <c r="L139" s="5">
        <f>_xlfn.XLOOKUP(TB_Kochi[[#This Row],[MIS_Group1]],PL_Consol!B:B,PL_Consol!C:C)</f>
        <v>20</v>
      </c>
      <c r="M139" s="16">
        <v>0</v>
      </c>
      <c r="N139" s="16">
        <v>2912</v>
      </c>
      <c r="O139" s="16">
        <v>4800</v>
      </c>
      <c r="P139" s="16">
        <v>2400</v>
      </c>
      <c r="Q139" s="16">
        <v>0</v>
      </c>
      <c r="R139" s="16">
        <v>194</v>
      </c>
      <c r="S139" s="16">
        <v>4433</v>
      </c>
      <c r="T139" s="16">
        <v>369</v>
      </c>
      <c r="U139" s="16">
        <v>0</v>
      </c>
      <c r="V139" s="17">
        <v>2444</v>
      </c>
      <c r="W139" s="17">
        <v>1367</v>
      </c>
      <c r="X139" s="17">
        <v>6853</v>
      </c>
      <c r="Y139" s="17">
        <f>SUM(TB_Kochi[[#This Row],[Apr]:[Mar]])</f>
        <v>25772</v>
      </c>
      <c r="Z139" s="89">
        <v>25772</v>
      </c>
      <c r="AA139" s="17">
        <v>0</v>
      </c>
      <c r="AB139" s="17">
        <f>IFERROR(_xlfn.XLOOKUP(TB_Kochi[[#This Row],[Description]],[1]trialbalancePDS.rpt!$K$1:$K$65536,[1]trialbalancePDS.rpt!$J$1:$J$65536,0),0)</f>
        <v>0</v>
      </c>
      <c r="AC139" s="17"/>
    </row>
    <row r="140" spans="2:29" x14ac:dyDescent="0.3">
      <c r="B140" s="5" t="s">
        <v>30</v>
      </c>
      <c r="C140" s="5" t="s">
        <v>2</v>
      </c>
      <c r="D140" s="5" t="s">
        <v>198</v>
      </c>
      <c r="E140" s="5" t="s">
        <v>25</v>
      </c>
      <c r="F140" s="5" t="s">
        <v>42</v>
      </c>
      <c r="G140" s="5" t="s">
        <v>27</v>
      </c>
      <c r="H140" s="5" t="s">
        <v>30</v>
      </c>
      <c r="I140" s="5" t="s">
        <v>511</v>
      </c>
      <c r="J140" s="5" t="s">
        <v>270</v>
      </c>
      <c r="K140" s="5" t="s">
        <v>316</v>
      </c>
      <c r="L140" s="5">
        <f>_xlfn.XLOOKUP(TB_Kochi[[#This Row],[MIS_Group1]],PL_Consol!B:B,PL_Consol!C:C)</f>
        <v>26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7">
        <v>0</v>
      </c>
      <c r="W140" s="17">
        <v>179.52</v>
      </c>
      <c r="X140" s="17">
        <v>0</v>
      </c>
      <c r="Y140" s="17">
        <f>SUM(TB_Kochi[[#This Row],[Apr]:[Mar]])</f>
        <v>179.52</v>
      </c>
      <c r="Z140" s="89">
        <v>179.52</v>
      </c>
      <c r="AA140" s="17">
        <v>0</v>
      </c>
      <c r="AB140" s="17">
        <f>IFERROR(_xlfn.XLOOKUP(TB_Kochi[[#This Row],[Description]],[1]trialbalancePDS.rpt!$K$1:$K$65536,[1]trialbalancePDS.rpt!$J$1:$J$65536,0),0)</f>
        <v>0</v>
      </c>
      <c r="AC140" s="17"/>
    </row>
    <row r="141" spans="2:29" x14ac:dyDescent="0.3">
      <c r="B141" s="5" t="s">
        <v>181</v>
      </c>
      <c r="C141" s="5" t="s">
        <v>2</v>
      </c>
      <c r="D141" s="5" t="s">
        <v>198</v>
      </c>
      <c r="E141" s="5" t="s">
        <v>25</v>
      </c>
      <c r="F141" s="5" t="s">
        <v>42</v>
      </c>
      <c r="G141" s="5" t="s">
        <v>27</v>
      </c>
      <c r="H141" s="5" t="s">
        <v>30</v>
      </c>
      <c r="I141" s="5" t="s">
        <v>511</v>
      </c>
      <c r="J141" s="5" t="s">
        <v>270</v>
      </c>
      <c r="K141" s="5" t="s">
        <v>271</v>
      </c>
      <c r="L141" s="5">
        <f>_xlfn.XLOOKUP(TB_Kochi[[#This Row],[MIS_Group1]],PL_Consol!B:B,PL_Consol!C:C)</f>
        <v>26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7">
        <v>0</v>
      </c>
      <c r="W141" s="17">
        <v>0</v>
      </c>
      <c r="X141" s="17">
        <v>0</v>
      </c>
      <c r="Y141" s="17">
        <f>SUM(TB_Kochi[[#This Row],[Apr]:[Mar]])</f>
        <v>0</v>
      </c>
      <c r="Z141" s="89">
        <v>0</v>
      </c>
      <c r="AA141" s="17">
        <v>0</v>
      </c>
      <c r="AB141" s="17">
        <f>IFERROR(_xlfn.XLOOKUP(TB_Kochi[[#This Row],[Description]],[1]trialbalancePDS.rpt!$K$1:$K$65536,[1]trialbalancePDS.rpt!$J$1:$J$65536,0),0)</f>
        <v>0</v>
      </c>
      <c r="AC141" s="17"/>
    </row>
    <row r="142" spans="2:29" x14ac:dyDescent="0.3">
      <c r="B142" s="5" t="s">
        <v>182</v>
      </c>
      <c r="C142" s="5" t="s">
        <v>2</v>
      </c>
      <c r="D142" s="5" t="s">
        <v>198</v>
      </c>
      <c r="E142" s="5" t="s">
        <v>25</v>
      </c>
      <c r="F142" s="5" t="s">
        <v>42</v>
      </c>
      <c r="G142" s="5" t="s">
        <v>27</v>
      </c>
      <c r="H142" s="5" t="s">
        <v>30</v>
      </c>
      <c r="I142" s="5" t="s">
        <v>511</v>
      </c>
      <c r="J142" s="5" t="s">
        <v>270</v>
      </c>
      <c r="K142" s="5" t="s">
        <v>271</v>
      </c>
      <c r="L142" s="5">
        <f>_xlfn.XLOOKUP(TB_Kochi[[#This Row],[MIS_Group1]],PL_Consol!B:B,PL_Consol!C:C)</f>
        <v>26</v>
      </c>
      <c r="M142" s="16">
        <v>3600</v>
      </c>
      <c r="N142" s="16">
        <v>-56437</v>
      </c>
      <c r="O142" s="16">
        <v>2503</v>
      </c>
      <c r="P142" s="16">
        <v>0</v>
      </c>
      <c r="Q142" s="16">
        <v>5008</v>
      </c>
      <c r="R142" s="16">
        <v>8450</v>
      </c>
      <c r="S142" s="16">
        <v>2250</v>
      </c>
      <c r="T142" s="16">
        <v>2625</v>
      </c>
      <c r="U142" s="16">
        <v>5350</v>
      </c>
      <c r="V142" s="17">
        <v>-20650</v>
      </c>
      <c r="W142" s="17">
        <v>4350</v>
      </c>
      <c r="X142" s="17">
        <v>2250</v>
      </c>
      <c r="Y142" s="17">
        <f>SUM(TB_Kochi[[#This Row],[Apr]:[Mar]])</f>
        <v>-40701</v>
      </c>
      <c r="Z142" s="89">
        <v>-40701</v>
      </c>
      <c r="AA142" s="17">
        <v>4250</v>
      </c>
      <c r="AB142" s="17">
        <f>IFERROR(_xlfn.XLOOKUP(TB_Kochi[[#This Row],[Description]],[1]trialbalancePDS.rpt!$K$1:$K$65536,[1]trialbalancePDS.rpt!$J$1:$J$65536,0),0)</f>
        <v>2350</v>
      </c>
      <c r="AC142" s="17"/>
    </row>
    <row r="143" spans="2:29" x14ac:dyDescent="0.3">
      <c r="B143" s="5" t="s">
        <v>31</v>
      </c>
      <c r="C143" s="5" t="s">
        <v>2</v>
      </c>
      <c r="D143" s="5" t="s">
        <v>198</v>
      </c>
      <c r="E143" s="5" t="s">
        <v>25</v>
      </c>
      <c r="F143" s="5" t="s">
        <v>42</v>
      </c>
      <c r="G143" s="5" t="s">
        <v>27</v>
      </c>
      <c r="H143" s="5" t="s">
        <v>31</v>
      </c>
      <c r="I143" s="5" t="s">
        <v>511</v>
      </c>
      <c r="J143" s="5" t="s">
        <v>317</v>
      </c>
      <c r="K143" s="5" t="s">
        <v>318</v>
      </c>
      <c r="L143" s="5">
        <f>_xlfn.XLOOKUP(TB_Kochi[[#This Row],[MIS_Group1]],PL_Consol!B:B,PL_Consol!C:C)</f>
        <v>24</v>
      </c>
      <c r="M143" s="16">
        <v>10244</v>
      </c>
      <c r="N143" s="16">
        <v>7450</v>
      </c>
      <c r="O143" s="16">
        <v>32832</v>
      </c>
      <c r="P143" s="16">
        <v>83585</v>
      </c>
      <c r="Q143" s="16">
        <v>19848</v>
      </c>
      <c r="R143" s="16">
        <v>-14043</v>
      </c>
      <c r="S143" s="16">
        <v>69706</v>
      </c>
      <c r="T143" s="16">
        <v>45500</v>
      </c>
      <c r="U143" s="16">
        <v>-6080</v>
      </c>
      <c r="V143" s="17">
        <v>71309</v>
      </c>
      <c r="W143" s="17">
        <v>4698</v>
      </c>
      <c r="X143" s="17">
        <v>62742.579999999987</v>
      </c>
      <c r="Y143" s="17">
        <f>SUM(TB_Kochi[[#This Row],[Apr]:[Mar]])</f>
        <v>387791.57999999996</v>
      </c>
      <c r="Z143" s="89">
        <v>387791.58</v>
      </c>
      <c r="AA143" s="17">
        <v>24160</v>
      </c>
      <c r="AB143" s="17">
        <f>IFERROR(_xlfn.XLOOKUP(TB_Kochi[[#This Row],[Description]],[1]trialbalancePDS.rpt!$K$1:$K$65536,[1]trialbalancePDS.rpt!$J$1:$J$65536,0),0)</f>
        <v>19032</v>
      </c>
      <c r="AC143" s="17"/>
    </row>
    <row r="144" spans="2:29" x14ac:dyDescent="0.3">
      <c r="B144" s="5" t="s">
        <v>183</v>
      </c>
      <c r="C144" s="5" t="s">
        <v>2</v>
      </c>
      <c r="D144" s="5" t="s">
        <v>198</v>
      </c>
      <c r="E144" s="5" t="s">
        <v>25</v>
      </c>
      <c r="F144" s="5" t="s">
        <v>42</v>
      </c>
      <c r="G144" s="5" t="s">
        <v>27</v>
      </c>
      <c r="H144" s="5" t="s">
        <v>32</v>
      </c>
      <c r="I144" s="5" t="s">
        <v>511</v>
      </c>
      <c r="J144" s="5" t="s">
        <v>302</v>
      </c>
      <c r="K144" s="5" t="s">
        <v>319</v>
      </c>
      <c r="L144" s="5">
        <f>_xlfn.XLOOKUP(TB_Kochi[[#This Row],[MIS_Group1]],PL_Consol!B:B,PL_Consol!C:C)</f>
        <v>21</v>
      </c>
      <c r="M144" s="16">
        <v>0</v>
      </c>
      <c r="N144" s="16">
        <v>79060</v>
      </c>
      <c r="O144" s="16">
        <v>251340</v>
      </c>
      <c r="P144" s="16">
        <v>88500</v>
      </c>
      <c r="Q144" s="16">
        <v>49560</v>
      </c>
      <c r="R144" s="16">
        <v>102660</v>
      </c>
      <c r="S144" s="16">
        <v>70800</v>
      </c>
      <c r="T144" s="16">
        <v>73160</v>
      </c>
      <c r="U144" s="16">
        <v>88500</v>
      </c>
      <c r="V144" s="17">
        <v>56758</v>
      </c>
      <c r="W144" s="17">
        <v>76700</v>
      </c>
      <c r="X144" s="17">
        <v>708000</v>
      </c>
      <c r="Y144" s="17">
        <f>SUM(TB_Kochi[[#This Row],[Apr]:[Mar]])</f>
        <v>1645038</v>
      </c>
      <c r="Z144" s="89">
        <v>1645038</v>
      </c>
      <c r="AA144" s="17">
        <v>330400</v>
      </c>
      <c r="AB144" s="17">
        <f>IFERROR(_xlfn.XLOOKUP(TB_Kochi[[#This Row],[Description]],[1]trialbalancePDS.rpt!$K$1:$K$65536,[1]trialbalancePDS.rpt!$J$1:$J$65536,0),0)</f>
        <v>23600</v>
      </c>
      <c r="AC144" s="17"/>
    </row>
    <row r="145" spans="2:29" x14ac:dyDescent="0.3">
      <c r="B145" s="5" t="s">
        <v>184</v>
      </c>
      <c r="C145" s="5" t="s">
        <v>2</v>
      </c>
      <c r="D145" s="5" t="s">
        <v>198</v>
      </c>
      <c r="E145" s="5" t="s">
        <v>25</v>
      </c>
      <c r="F145" s="5" t="s">
        <v>42</v>
      </c>
      <c r="G145" s="5" t="s">
        <v>27</v>
      </c>
      <c r="H145" s="5" t="s">
        <v>32</v>
      </c>
      <c r="I145" s="5" t="s">
        <v>511</v>
      </c>
      <c r="J145" s="5" t="s">
        <v>302</v>
      </c>
      <c r="K145" s="5" t="s">
        <v>319</v>
      </c>
      <c r="L145" s="5">
        <f>_xlfn.XLOOKUP(TB_Kochi[[#This Row],[MIS_Group1]],PL_Consol!B:B,PL_Consol!C:C)</f>
        <v>21</v>
      </c>
      <c r="M145" s="16">
        <v>0</v>
      </c>
      <c r="N145" s="16">
        <v>339952</v>
      </c>
      <c r="O145" s="16">
        <v>0</v>
      </c>
      <c r="P145" s="16">
        <v>39724</v>
      </c>
      <c r="Q145" s="16">
        <v>750</v>
      </c>
      <c r="R145" s="16">
        <v>1850</v>
      </c>
      <c r="S145" s="16">
        <v>3548</v>
      </c>
      <c r="T145" s="16">
        <v>73362</v>
      </c>
      <c r="U145" s="16">
        <v>5058</v>
      </c>
      <c r="V145" s="17">
        <v>20710</v>
      </c>
      <c r="W145" s="17">
        <v>1046</v>
      </c>
      <c r="X145" s="17">
        <v>29018</v>
      </c>
      <c r="Y145" s="17">
        <f>SUM(TB_Kochi[[#This Row],[Apr]:[Mar]])</f>
        <v>515018</v>
      </c>
      <c r="Z145" s="89">
        <v>515018</v>
      </c>
      <c r="AA145" s="17">
        <v>13874</v>
      </c>
      <c r="AB145" s="17">
        <f>IFERROR(_xlfn.XLOOKUP(TB_Kochi[[#This Row],[Description]],[1]trialbalancePDS.rpt!$K$1:$K$65536,[1]trialbalancePDS.rpt!$J$1:$J$65536,0),0)</f>
        <v>2550</v>
      </c>
      <c r="AC145" s="17"/>
    </row>
    <row r="146" spans="2:29" x14ac:dyDescent="0.3">
      <c r="B146" s="5" t="s">
        <v>185</v>
      </c>
      <c r="C146" s="5" t="s">
        <v>2</v>
      </c>
      <c r="D146" s="5" t="s">
        <v>198</v>
      </c>
      <c r="E146" s="5" t="s">
        <v>25</v>
      </c>
      <c r="F146" s="5" t="s">
        <v>42</v>
      </c>
      <c r="G146" s="5" t="s">
        <v>27</v>
      </c>
      <c r="H146" s="5" t="s">
        <v>32</v>
      </c>
      <c r="I146" s="5" t="s">
        <v>511</v>
      </c>
      <c r="J146" s="5" t="s">
        <v>302</v>
      </c>
      <c r="K146" s="5" t="s">
        <v>303</v>
      </c>
      <c r="L146" s="5">
        <f>_xlfn.XLOOKUP(TB_Kochi[[#This Row],[MIS_Group1]],PL_Consol!B:B,PL_Consol!C:C)</f>
        <v>21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7">
        <v>472000</v>
      </c>
      <c r="W146" s="17">
        <v>98784</v>
      </c>
      <c r="X146" s="17">
        <v>0</v>
      </c>
      <c r="Y146" s="17">
        <f>SUM(TB_Kochi[[#This Row],[Apr]:[Mar]])</f>
        <v>570784</v>
      </c>
      <c r="Z146" s="89">
        <v>570784</v>
      </c>
      <c r="AA146" s="17">
        <v>0</v>
      </c>
      <c r="AB146" s="17">
        <f>IFERROR(_xlfn.XLOOKUP(TB_Kochi[[#This Row],[Description]],[1]trialbalancePDS.rpt!$K$1:$K$65536,[1]trialbalancePDS.rpt!$J$1:$J$65536,0),0)</f>
        <v>0</v>
      </c>
      <c r="AC146" s="17"/>
    </row>
    <row r="147" spans="2:29" x14ac:dyDescent="0.3">
      <c r="B147" s="5" t="s">
        <v>186</v>
      </c>
      <c r="C147" s="5" t="s">
        <v>2</v>
      </c>
      <c r="D147" s="5" t="s">
        <v>198</v>
      </c>
      <c r="E147" s="5" t="s">
        <v>25</v>
      </c>
      <c r="F147" s="5" t="s">
        <v>42</v>
      </c>
      <c r="G147" s="5" t="s">
        <v>27</v>
      </c>
      <c r="H147" s="5" t="s">
        <v>32</v>
      </c>
      <c r="I147" s="5" t="s">
        <v>511</v>
      </c>
      <c r="J147" s="5" t="s">
        <v>302</v>
      </c>
      <c r="K147" s="5" t="s">
        <v>303</v>
      </c>
      <c r="L147" s="5">
        <f>_xlfn.XLOOKUP(TB_Kochi[[#This Row],[MIS_Group1]],PL_Consol!B:B,PL_Consol!C:C)</f>
        <v>21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154580</v>
      </c>
      <c r="U147" s="16">
        <v>0</v>
      </c>
      <c r="V147" s="17">
        <v>5000</v>
      </c>
      <c r="W147" s="17">
        <v>18321</v>
      </c>
      <c r="X147" s="17">
        <v>4770</v>
      </c>
      <c r="Y147" s="17">
        <f>SUM(TB_Kochi[[#This Row],[Apr]:[Mar]])</f>
        <v>182671</v>
      </c>
      <c r="Z147" s="89">
        <v>182671</v>
      </c>
      <c r="AA147" s="17">
        <v>0</v>
      </c>
      <c r="AB147" s="17">
        <f>IFERROR(_xlfn.XLOOKUP(TB_Kochi[[#This Row],[Description]],[1]trialbalancePDS.rpt!$K$1:$K$65536,[1]trialbalancePDS.rpt!$J$1:$J$65536,0),0)</f>
        <v>141600</v>
      </c>
      <c r="AC147" s="17"/>
    </row>
    <row r="148" spans="2:29" x14ac:dyDescent="0.3">
      <c r="B148" s="5" t="s">
        <v>187</v>
      </c>
      <c r="C148" s="5" t="s">
        <v>2</v>
      </c>
      <c r="D148" s="5" t="s">
        <v>198</v>
      </c>
      <c r="E148" s="5" t="s">
        <v>25</v>
      </c>
      <c r="F148" s="5" t="s">
        <v>42</v>
      </c>
      <c r="G148" s="5" t="s">
        <v>27</v>
      </c>
      <c r="H148" s="5" t="s">
        <v>32</v>
      </c>
      <c r="I148" s="5" t="s">
        <v>511</v>
      </c>
      <c r="J148" s="5" t="s">
        <v>270</v>
      </c>
      <c r="K148" s="5" t="s">
        <v>320</v>
      </c>
      <c r="L148" s="5">
        <f>_xlfn.XLOOKUP(TB_Kochi[[#This Row],[MIS_Group1]],PL_Consol!B:B,PL_Consol!C:C)</f>
        <v>26</v>
      </c>
      <c r="M148" s="16">
        <v>0</v>
      </c>
      <c r="N148" s="16">
        <v>33082</v>
      </c>
      <c r="O148" s="16">
        <v>37152</v>
      </c>
      <c r="P148" s="16">
        <v>71605</v>
      </c>
      <c r="Q148" s="16">
        <v>33143</v>
      </c>
      <c r="R148" s="16">
        <v>38745</v>
      </c>
      <c r="S148" s="16">
        <v>34294</v>
      </c>
      <c r="T148" s="16">
        <v>24521</v>
      </c>
      <c r="U148" s="16">
        <v>-9740</v>
      </c>
      <c r="V148" s="17">
        <v>0</v>
      </c>
      <c r="W148" s="17">
        <v>0</v>
      </c>
      <c r="X148" s="17">
        <v>0</v>
      </c>
      <c r="Y148" s="17">
        <f>SUM(TB_Kochi[[#This Row],[Apr]:[Mar]])</f>
        <v>262802</v>
      </c>
      <c r="Z148" s="89">
        <v>262802</v>
      </c>
      <c r="AA148" s="17">
        <v>0</v>
      </c>
      <c r="AB148" s="17">
        <f>IFERROR(_xlfn.XLOOKUP(TB_Kochi[[#This Row],[Description]],[1]trialbalancePDS.rpt!$K$1:$K$65536,[1]trialbalancePDS.rpt!$J$1:$J$65536,0),0)</f>
        <v>500</v>
      </c>
      <c r="AC148" s="17"/>
    </row>
    <row r="149" spans="2:29" x14ac:dyDescent="0.3">
      <c r="B149" s="5" t="s">
        <v>32</v>
      </c>
      <c r="C149" s="5" t="s">
        <v>2</v>
      </c>
      <c r="D149" s="5" t="s">
        <v>198</v>
      </c>
      <c r="E149" s="5" t="s">
        <v>25</v>
      </c>
      <c r="F149" s="5" t="s">
        <v>42</v>
      </c>
      <c r="G149" s="5" t="s">
        <v>27</v>
      </c>
      <c r="H149" s="5" t="s">
        <v>32</v>
      </c>
      <c r="I149" s="5" t="s">
        <v>511</v>
      </c>
      <c r="J149" s="5" t="s">
        <v>302</v>
      </c>
      <c r="K149" s="5" t="s">
        <v>319</v>
      </c>
      <c r="L149" s="5">
        <f>_xlfn.XLOOKUP(TB_Kochi[[#This Row],[MIS_Group1]],PL_Consol!B:B,PL_Consol!C:C)</f>
        <v>21</v>
      </c>
      <c r="M149" s="16">
        <v>283500</v>
      </c>
      <c r="N149" s="16">
        <v>557032</v>
      </c>
      <c r="O149" s="16">
        <v>622609</v>
      </c>
      <c r="P149" s="16">
        <v>1489344</v>
      </c>
      <c r="Q149" s="16">
        <v>630491</v>
      </c>
      <c r="R149" s="16">
        <v>546357</v>
      </c>
      <c r="S149" s="16">
        <v>1497350</v>
      </c>
      <c r="T149" s="16">
        <v>813417</v>
      </c>
      <c r="U149" s="16">
        <v>778656</v>
      </c>
      <c r="V149" s="17">
        <v>1327360</v>
      </c>
      <c r="W149" s="17">
        <v>772824</v>
      </c>
      <c r="X149" s="17">
        <v>4341100.33</v>
      </c>
      <c r="Y149" s="17">
        <f>SUM(TB_Kochi[[#This Row],[Apr]:[Mar]])</f>
        <v>13660040.33</v>
      </c>
      <c r="Z149" s="89">
        <v>13660040.33</v>
      </c>
      <c r="AA149" s="17">
        <v>1020733</v>
      </c>
      <c r="AB149" s="17">
        <f>IFERROR(_xlfn.XLOOKUP(TB_Kochi[[#This Row],[Description]],[1]trialbalancePDS.rpt!$K$1:$K$65536,[1]trialbalancePDS.rpt!$J$1:$J$65536,0),0)</f>
        <v>1232925</v>
      </c>
      <c r="AC149" s="17"/>
    </row>
    <row r="150" spans="2:29" x14ac:dyDescent="0.3">
      <c r="B150" s="5" t="s">
        <v>188</v>
      </c>
      <c r="C150" s="5" t="s">
        <v>2</v>
      </c>
      <c r="D150" s="5" t="s">
        <v>198</v>
      </c>
      <c r="E150" s="5" t="s">
        <v>25</v>
      </c>
      <c r="F150" s="5" t="s">
        <v>42</v>
      </c>
      <c r="G150" s="5" t="s">
        <v>27</v>
      </c>
      <c r="H150" s="5" t="s">
        <v>33</v>
      </c>
      <c r="I150" s="5" t="s">
        <v>511</v>
      </c>
      <c r="J150" s="5" t="s">
        <v>311</v>
      </c>
      <c r="K150" s="5" t="s">
        <v>313</v>
      </c>
      <c r="L150" s="5">
        <f>_xlfn.XLOOKUP(TB_Kochi[[#This Row],[MIS_Group1]],PL_Consol!B:B,PL_Consol!C:C)</f>
        <v>13</v>
      </c>
      <c r="M150" s="16">
        <v>80000</v>
      </c>
      <c r="N150" s="16">
        <v>61638</v>
      </c>
      <c r="O150" s="16">
        <v>0</v>
      </c>
      <c r="P150" s="16">
        <v>0</v>
      </c>
      <c r="Q150" s="16">
        <v>89492</v>
      </c>
      <c r="R150" s="16">
        <v>0</v>
      </c>
      <c r="S150" s="16">
        <v>0</v>
      </c>
      <c r="T150" s="16">
        <v>0</v>
      </c>
      <c r="U150" s="16">
        <v>0</v>
      </c>
      <c r="V150" s="17">
        <v>170000</v>
      </c>
      <c r="W150" s="17">
        <v>30000</v>
      </c>
      <c r="X150" s="17">
        <v>2169.6</v>
      </c>
      <c r="Y150" s="17">
        <f>SUM(TB_Kochi[[#This Row],[Apr]:[Mar]])</f>
        <v>433299.6</v>
      </c>
      <c r="Z150" s="89">
        <v>433299.6</v>
      </c>
      <c r="AA150" s="17">
        <v>40000</v>
      </c>
      <c r="AB150" s="17">
        <f>IFERROR(_xlfn.XLOOKUP(TB_Kochi[[#This Row],[Description]],[1]trialbalancePDS.rpt!$K$1:$K$65536,[1]trialbalancePDS.rpt!$J$1:$J$65536,0),0)</f>
        <v>93945</v>
      </c>
      <c r="AC150" s="17"/>
    </row>
    <row r="151" spans="2:29" x14ac:dyDescent="0.3">
      <c r="B151" s="5" t="s">
        <v>189</v>
      </c>
      <c r="C151" s="5" t="s">
        <v>2</v>
      </c>
      <c r="D151" s="5" t="s">
        <v>198</v>
      </c>
      <c r="E151" s="5" t="s">
        <v>25</v>
      </c>
      <c r="F151" s="5" t="s">
        <v>42</v>
      </c>
      <c r="G151" s="5" t="s">
        <v>27</v>
      </c>
      <c r="H151" s="5" t="s">
        <v>33</v>
      </c>
      <c r="I151" s="5" t="s">
        <v>511</v>
      </c>
      <c r="J151" s="5" t="s">
        <v>503</v>
      </c>
      <c r="K151" s="5" t="s">
        <v>503</v>
      </c>
      <c r="L151" s="5">
        <f>_xlfn.XLOOKUP(TB_Kochi[[#This Row],[MIS_Group1]],PL_Consol!B:B,PL_Consol!C:C)</f>
        <v>27</v>
      </c>
      <c r="M151" s="16">
        <v>0</v>
      </c>
      <c r="N151" s="16">
        <v>79649</v>
      </c>
      <c r="O151" s="16">
        <v>295823</v>
      </c>
      <c r="P151" s="16">
        <v>245000</v>
      </c>
      <c r="Q151" s="16">
        <v>124500</v>
      </c>
      <c r="R151" s="16">
        <v>254756</v>
      </c>
      <c r="S151" s="16">
        <v>140114</v>
      </c>
      <c r="T151" s="16">
        <v>0</v>
      </c>
      <c r="U151" s="16">
        <v>2257081</v>
      </c>
      <c r="V151" s="17">
        <v>0</v>
      </c>
      <c r="W151" s="17">
        <v>200000</v>
      </c>
      <c r="X151" s="17">
        <v>1977264</v>
      </c>
      <c r="Y151" s="17">
        <f>SUM(TB_Kochi[[#This Row],[Apr]:[Mar]])</f>
        <v>5574187</v>
      </c>
      <c r="Z151" s="89">
        <v>5574187</v>
      </c>
      <c r="AA151" s="17">
        <v>0</v>
      </c>
      <c r="AB151" s="17">
        <f>IFERROR(_xlfn.XLOOKUP(TB_Kochi[[#This Row],[Description]],[1]trialbalancePDS.rpt!$K$1:$K$65536,[1]trialbalancePDS.rpt!$J$1:$J$65536,0),0)</f>
        <v>0</v>
      </c>
      <c r="AC151" s="17"/>
    </row>
    <row r="152" spans="2:29" x14ac:dyDescent="0.3">
      <c r="B152" s="5" t="s">
        <v>33</v>
      </c>
      <c r="C152" s="5" t="s">
        <v>2</v>
      </c>
      <c r="D152" s="5" t="s">
        <v>198</v>
      </c>
      <c r="E152" s="5" t="s">
        <v>25</v>
      </c>
      <c r="F152" s="5" t="s">
        <v>42</v>
      </c>
      <c r="G152" s="5" t="s">
        <v>27</v>
      </c>
      <c r="H152" s="5" t="s">
        <v>33</v>
      </c>
      <c r="I152" s="5" t="s">
        <v>511</v>
      </c>
      <c r="J152" s="5" t="s">
        <v>311</v>
      </c>
      <c r="K152" s="5" t="s">
        <v>313</v>
      </c>
      <c r="L152" s="5">
        <f>_xlfn.XLOOKUP(TB_Kochi[[#This Row],[MIS_Group1]],PL_Consol!B:B,PL_Consol!C:C)</f>
        <v>13</v>
      </c>
      <c r="M152" s="16">
        <v>0</v>
      </c>
      <c r="N152" s="16">
        <v>3799147</v>
      </c>
      <c r="O152" s="16">
        <v>3267074</v>
      </c>
      <c r="P152" s="16">
        <v>2844714</v>
      </c>
      <c r="Q152" s="16">
        <v>5021171</v>
      </c>
      <c r="R152" s="16">
        <v>6246882</v>
      </c>
      <c r="S152" s="16">
        <v>5813462</v>
      </c>
      <c r="T152" s="16">
        <v>5250848</v>
      </c>
      <c r="U152" s="16">
        <v>4767523</v>
      </c>
      <c r="V152" s="17">
        <v>4019016</v>
      </c>
      <c r="W152" s="17">
        <v>9926707</v>
      </c>
      <c r="X152" s="17">
        <v>889681</v>
      </c>
      <c r="Y152" s="17">
        <f>SUM(TB_Kochi[[#This Row],[Apr]:[Mar]])</f>
        <v>51846225</v>
      </c>
      <c r="Z152" s="89">
        <v>51846225</v>
      </c>
      <c r="AA152" s="17">
        <v>5300000</v>
      </c>
      <c r="AB152" s="17">
        <f>IFERROR(_xlfn.XLOOKUP(TB_Kochi[[#This Row],[Description]],[1]trialbalancePDS.rpt!$K$1:$K$65536,[1]trialbalancePDS.rpt!$J$1:$J$65536,0),0)</f>
        <v>3342761</v>
      </c>
      <c r="AC152" s="17"/>
    </row>
    <row r="153" spans="2:29" x14ac:dyDescent="0.3">
      <c r="B153" s="5" t="s">
        <v>190</v>
      </c>
      <c r="C153" s="5" t="s">
        <v>2</v>
      </c>
      <c r="D153" s="5" t="s">
        <v>198</v>
      </c>
      <c r="E153" s="5" t="s">
        <v>25</v>
      </c>
      <c r="F153" s="5" t="s">
        <v>42</v>
      </c>
      <c r="G153" s="5" t="s">
        <v>27</v>
      </c>
      <c r="H153" s="5" t="s">
        <v>33</v>
      </c>
      <c r="I153" s="5" t="s">
        <v>511</v>
      </c>
      <c r="J153" s="5" t="s">
        <v>311</v>
      </c>
      <c r="K153" s="5" t="s">
        <v>313</v>
      </c>
      <c r="L153" s="5">
        <f>_xlfn.XLOOKUP(TB_Kochi[[#This Row],[MIS_Group1]],PL_Consol!B:B,PL_Consol!C:C)</f>
        <v>13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7">
        <v>0</v>
      </c>
      <c r="W153" s="17">
        <v>0</v>
      </c>
      <c r="X153" s="17">
        <v>0</v>
      </c>
      <c r="Y153" s="17">
        <f>SUM(TB_Kochi[[#This Row],[Apr]:[Mar]])</f>
        <v>0</v>
      </c>
      <c r="Z153" s="89">
        <v>0</v>
      </c>
      <c r="AA153" s="17">
        <v>0</v>
      </c>
      <c r="AB153" s="17">
        <f>IFERROR(_xlfn.XLOOKUP(TB_Kochi[[#This Row],[Description]],[1]trialbalancePDS.rpt!$K$1:$K$65536,[1]trialbalancePDS.rpt!$J$1:$J$65536,0),0)</f>
        <v>0</v>
      </c>
      <c r="AC153" s="17"/>
    </row>
    <row r="154" spans="2:29" x14ac:dyDescent="0.3">
      <c r="B154" s="5" t="s">
        <v>34</v>
      </c>
      <c r="C154" s="5" t="s">
        <v>2</v>
      </c>
      <c r="D154" s="5" t="s">
        <v>198</v>
      </c>
      <c r="E154" s="5" t="s">
        <v>25</v>
      </c>
      <c r="F154" s="5" t="s">
        <v>42</v>
      </c>
      <c r="G154" s="5" t="s">
        <v>27</v>
      </c>
      <c r="H154" s="5" t="s">
        <v>34</v>
      </c>
      <c r="I154" s="5" t="s">
        <v>511</v>
      </c>
      <c r="J154" s="5" t="s">
        <v>535</v>
      </c>
      <c r="K154" s="5" t="s">
        <v>321</v>
      </c>
      <c r="L154" s="5">
        <f>_xlfn.XLOOKUP(TB_Kochi[[#This Row],[MIS_Group1]],PL_Consol!B:B,PL_Consol!C:C)</f>
        <v>17</v>
      </c>
      <c r="M154" s="16">
        <v>2041736</v>
      </c>
      <c r="N154" s="16">
        <v>2325145</v>
      </c>
      <c r="O154" s="16">
        <v>2325145</v>
      </c>
      <c r="P154" s="16">
        <v>2296171</v>
      </c>
      <c r="Q154" s="16">
        <v>1961162</v>
      </c>
      <c r="R154" s="16">
        <v>1867592.3499999994</v>
      </c>
      <c r="S154" s="16">
        <v>2515048</v>
      </c>
      <c r="T154" s="16">
        <v>2067980</v>
      </c>
      <c r="U154" s="16">
        <v>2101506</v>
      </c>
      <c r="V154" s="17">
        <v>2225077</v>
      </c>
      <c r="W154" s="17">
        <v>2075996</v>
      </c>
      <c r="X154" s="17">
        <v>2260000</v>
      </c>
      <c r="Y154" s="17">
        <f>SUM(TB_Kochi[[#This Row],[Apr]:[Mar]])</f>
        <v>26062558.350000001</v>
      </c>
      <c r="Z154" s="89">
        <v>29650389.300000001</v>
      </c>
      <c r="AA154" s="17">
        <v>2345755</v>
      </c>
      <c r="AB154" s="17">
        <f>IFERROR(_xlfn.XLOOKUP(TB_Kochi[[#This Row],[Description]],[1]trialbalancePDS.rpt!$K$1:$K$65536,[1]trialbalancePDS.rpt!$J$1:$J$65536,0),0)</f>
        <v>1842536</v>
      </c>
      <c r="AC154" s="17"/>
    </row>
    <row r="155" spans="2:29" x14ac:dyDescent="0.3">
      <c r="B155" s="5" t="s">
        <v>35</v>
      </c>
      <c r="C155" s="5" t="s">
        <v>2</v>
      </c>
      <c r="D155" s="5" t="s">
        <v>198</v>
      </c>
      <c r="E155" s="5" t="s">
        <v>25</v>
      </c>
      <c r="F155" s="5" t="s">
        <v>42</v>
      </c>
      <c r="G155" s="5" t="s">
        <v>27</v>
      </c>
      <c r="H155" s="5" t="s">
        <v>35</v>
      </c>
      <c r="I155" s="5" t="s">
        <v>511</v>
      </c>
      <c r="J155" s="5" t="s">
        <v>317</v>
      </c>
      <c r="K155" s="5" t="s">
        <v>322</v>
      </c>
      <c r="L155" s="5">
        <f>_xlfn.XLOOKUP(TB_Kochi[[#This Row],[MIS_Group1]],PL_Consol!B:B,PL_Consol!C:C)</f>
        <v>24</v>
      </c>
      <c r="M155" s="16">
        <v>57920.08</v>
      </c>
      <c r="N155" s="16">
        <v>332653.09999999998</v>
      </c>
      <c r="O155" s="16">
        <v>200481.43</v>
      </c>
      <c r="P155" s="16">
        <v>290642</v>
      </c>
      <c r="Q155" s="16">
        <v>247925</v>
      </c>
      <c r="R155" s="16">
        <v>251547.43</v>
      </c>
      <c r="S155" s="16">
        <v>223101</v>
      </c>
      <c r="T155" s="16">
        <v>446099.96</v>
      </c>
      <c r="U155" s="16">
        <v>195181.18</v>
      </c>
      <c r="V155" s="17">
        <v>249974.92</v>
      </c>
      <c r="W155" s="17">
        <v>185103.22</v>
      </c>
      <c r="X155" s="17">
        <v>437483.42</v>
      </c>
      <c r="Y155" s="17">
        <f>SUM(TB_Kochi[[#This Row],[Apr]:[Mar]])</f>
        <v>3118112.7399999998</v>
      </c>
      <c r="Z155" s="89">
        <v>3118112.74</v>
      </c>
      <c r="AA155" s="17">
        <v>59927</v>
      </c>
      <c r="AB155" s="17">
        <f>IFERROR(_xlfn.XLOOKUP(TB_Kochi[[#This Row],[Description]],[1]trialbalancePDS.rpt!$K$1:$K$65536,[1]trialbalancePDS.rpt!$J$1:$J$65536,0),0)</f>
        <v>221649</v>
      </c>
      <c r="AC155" s="17"/>
    </row>
    <row r="156" spans="2:29" x14ac:dyDescent="0.3">
      <c r="B156" s="5" t="s">
        <v>191</v>
      </c>
      <c r="C156" s="5" t="s">
        <v>2</v>
      </c>
      <c r="D156" s="5" t="s">
        <v>198</v>
      </c>
      <c r="E156" s="5" t="s">
        <v>25</v>
      </c>
      <c r="F156" s="5" t="s">
        <v>42</v>
      </c>
      <c r="G156" s="5" t="s">
        <v>27</v>
      </c>
      <c r="H156" s="5" t="s">
        <v>36</v>
      </c>
      <c r="I156" s="5" t="s">
        <v>511</v>
      </c>
      <c r="J156" s="5" t="s">
        <v>325</v>
      </c>
      <c r="K156" s="5" t="s">
        <v>323</v>
      </c>
      <c r="L156" s="5">
        <f>_xlfn.XLOOKUP(TB_Kochi[[#This Row],[MIS_Group1]],PL_Consol!B:B,PL_Consol!C:C)</f>
        <v>25</v>
      </c>
      <c r="M156" s="16">
        <v>5000</v>
      </c>
      <c r="N156" s="16">
        <v>2000</v>
      </c>
      <c r="O156" s="16">
        <v>4000</v>
      </c>
      <c r="P156" s="16">
        <v>0</v>
      </c>
      <c r="Q156" s="16">
        <v>5000</v>
      </c>
      <c r="R156" s="16">
        <v>0</v>
      </c>
      <c r="S156" s="16">
        <v>0</v>
      </c>
      <c r="T156" s="16">
        <v>5000</v>
      </c>
      <c r="U156" s="16">
        <v>5000</v>
      </c>
      <c r="V156" s="17">
        <v>3000</v>
      </c>
      <c r="W156" s="17">
        <v>5000</v>
      </c>
      <c r="X156" s="17">
        <v>0</v>
      </c>
      <c r="Y156" s="17">
        <f>SUM(TB_Kochi[[#This Row],[Apr]:[Mar]])</f>
        <v>34000</v>
      </c>
      <c r="Z156" s="89">
        <v>34000</v>
      </c>
      <c r="AA156" s="17">
        <v>0</v>
      </c>
      <c r="AB156" s="17">
        <f>IFERROR(_xlfn.XLOOKUP(TB_Kochi[[#This Row],[Description]],[1]trialbalancePDS.rpt!$K$1:$K$65536,[1]trialbalancePDS.rpt!$J$1:$J$65536,0),0)</f>
        <v>0</v>
      </c>
      <c r="AC156" s="17"/>
    </row>
    <row r="157" spans="2:29" x14ac:dyDescent="0.3">
      <c r="B157" s="5" t="s">
        <v>192</v>
      </c>
      <c r="C157" s="5" t="s">
        <v>2</v>
      </c>
      <c r="D157" s="5" t="s">
        <v>198</v>
      </c>
      <c r="E157" s="5" t="s">
        <v>25</v>
      </c>
      <c r="F157" s="5" t="s">
        <v>42</v>
      </c>
      <c r="G157" s="5" t="s">
        <v>27</v>
      </c>
      <c r="H157" s="5" t="s">
        <v>36</v>
      </c>
      <c r="I157" s="5" t="s">
        <v>511</v>
      </c>
      <c r="J157" s="5" t="s">
        <v>311</v>
      </c>
      <c r="K157" s="5" t="s">
        <v>324</v>
      </c>
      <c r="L157" s="5">
        <f>_xlfn.XLOOKUP(TB_Kochi[[#This Row],[MIS_Group1]],PL_Consol!B:B,PL_Consol!C:C)</f>
        <v>13</v>
      </c>
      <c r="M157" s="16">
        <v>7835603.2400000002</v>
      </c>
      <c r="N157" s="16">
        <v>1705052.19</v>
      </c>
      <c r="O157" s="16">
        <v>2501830.0099999998</v>
      </c>
      <c r="P157" s="16">
        <v>1568259.52</v>
      </c>
      <c r="Q157" s="16">
        <v>1365554.2</v>
      </c>
      <c r="R157" s="16">
        <v>1895904.43</v>
      </c>
      <c r="S157" s="16">
        <v>1795143</v>
      </c>
      <c r="T157" s="16">
        <v>1643035.65</v>
      </c>
      <c r="U157" s="16">
        <v>2881790.91</v>
      </c>
      <c r="V157" s="17">
        <v>2948536.52</v>
      </c>
      <c r="W157" s="17">
        <v>1089435.8899999999</v>
      </c>
      <c r="X157" s="17">
        <v>4219061.22</v>
      </c>
      <c r="Y157" s="17">
        <f>SUM(TB_Kochi[[#This Row],[Apr]:[Mar]])</f>
        <v>31449206.779999997</v>
      </c>
      <c r="Z157" s="89">
        <v>31449206.780000001</v>
      </c>
      <c r="AA157" s="17">
        <v>1750930.93</v>
      </c>
      <c r="AB157" s="17">
        <f>IFERROR(_xlfn.XLOOKUP(TB_Kochi[[#This Row],[Description]],[1]trialbalancePDS.rpt!$K$1:$K$65536,[1]trialbalancePDS.rpt!$J$1:$J$65536,0),0)</f>
        <v>1403181.05</v>
      </c>
      <c r="AC157" s="17"/>
    </row>
    <row r="158" spans="2:29" x14ac:dyDescent="0.3">
      <c r="B158" s="5" t="s">
        <v>36</v>
      </c>
      <c r="C158" s="5" t="s">
        <v>2</v>
      </c>
      <c r="D158" s="5" t="s">
        <v>198</v>
      </c>
      <c r="E158" s="5" t="s">
        <v>25</v>
      </c>
      <c r="F158" s="5" t="s">
        <v>42</v>
      </c>
      <c r="G158" s="5" t="s">
        <v>27</v>
      </c>
      <c r="H158" s="5" t="s">
        <v>36</v>
      </c>
      <c r="I158" s="5" t="s">
        <v>511</v>
      </c>
      <c r="J158" s="5" t="s">
        <v>325</v>
      </c>
      <c r="K158" s="5" t="s">
        <v>323</v>
      </c>
      <c r="L158" s="5">
        <f>_xlfn.XLOOKUP(TB_Kochi[[#This Row],[MIS_Group1]],PL_Consol!B:B,PL_Consol!C:C)</f>
        <v>25</v>
      </c>
      <c r="M158" s="16">
        <v>3000</v>
      </c>
      <c r="N158" s="16">
        <v>0</v>
      </c>
      <c r="O158" s="16">
        <v>0</v>
      </c>
      <c r="P158" s="16">
        <v>0</v>
      </c>
      <c r="Q158" s="16">
        <v>0</v>
      </c>
      <c r="R158" s="16">
        <v>140</v>
      </c>
      <c r="S158" s="16">
        <v>53862</v>
      </c>
      <c r="T158" s="16">
        <v>7500</v>
      </c>
      <c r="U158" s="16">
        <v>0</v>
      </c>
      <c r="V158" s="17">
        <v>2500</v>
      </c>
      <c r="W158" s="17">
        <v>31530.39</v>
      </c>
      <c r="X158" s="17">
        <v>5708</v>
      </c>
      <c r="Y158" s="17">
        <f>SUM(TB_Kochi[[#This Row],[Apr]:[Mar]])</f>
        <v>104240.39</v>
      </c>
      <c r="Z158" s="89">
        <v>104240.39</v>
      </c>
      <c r="AA158" s="17">
        <v>0</v>
      </c>
      <c r="AB158" s="17">
        <f>IFERROR(_xlfn.XLOOKUP(TB_Kochi[[#This Row],[Description]],[1]trialbalancePDS.rpt!$K$1:$K$65536,[1]trialbalancePDS.rpt!$J$1:$J$65536,0),0)</f>
        <v>0</v>
      </c>
      <c r="AC158" s="17"/>
    </row>
    <row r="159" spans="2:29" x14ac:dyDescent="0.3">
      <c r="B159" s="5" t="s">
        <v>193</v>
      </c>
      <c r="C159" s="5" t="s">
        <v>2</v>
      </c>
      <c r="D159" s="5" t="s">
        <v>198</v>
      </c>
      <c r="E159" s="5" t="s">
        <v>25</v>
      </c>
      <c r="F159" s="5" t="s">
        <v>42</v>
      </c>
      <c r="G159" s="5" t="s">
        <v>27</v>
      </c>
      <c r="H159" s="5" t="s">
        <v>37</v>
      </c>
      <c r="I159" s="5" t="s">
        <v>511</v>
      </c>
      <c r="J159" s="5" t="s">
        <v>325</v>
      </c>
      <c r="K159" s="5" t="s">
        <v>326</v>
      </c>
      <c r="L159" s="5">
        <f>_xlfn.XLOOKUP(TB_Kochi[[#This Row],[MIS_Group1]],PL_Consol!B:B,PL_Consol!C:C)</f>
        <v>25</v>
      </c>
      <c r="M159" s="16">
        <v>50836</v>
      </c>
      <c r="N159" s="16">
        <v>224307</v>
      </c>
      <c r="O159" s="16">
        <v>226149</v>
      </c>
      <c r="P159" s="16">
        <v>335502</v>
      </c>
      <c r="Q159" s="16">
        <v>554574</v>
      </c>
      <c r="R159" s="16">
        <v>120091</v>
      </c>
      <c r="S159" s="16">
        <v>294716.09999999998</v>
      </c>
      <c r="T159" s="16">
        <v>97071</v>
      </c>
      <c r="U159" s="16">
        <v>204376</v>
      </c>
      <c r="V159" s="17">
        <v>140367.99</v>
      </c>
      <c r="W159" s="17">
        <v>305969</v>
      </c>
      <c r="X159" s="17">
        <v>958267.73</v>
      </c>
      <c r="Y159" s="17">
        <f>SUM(TB_Kochi[[#This Row],[Apr]:[Mar]])</f>
        <v>3512226.82</v>
      </c>
      <c r="Z159" s="89">
        <v>3512226.82</v>
      </c>
      <c r="AA159" s="17">
        <v>527001</v>
      </c>
      <c r="AB159" s="17">
        <f>IFERROR(_xlfn.XLOOKUP(TB_Kochi[[#This Row],[Description]],[1]trialbalancePDS.rpt!$K$1:$K$65536,[1]trialbalancePDS.rpt!$J$1:$J$65536,0),0)</f>
        <v>165998</v>
      </c>
      <c r="AC159" s="17"/>
    </row>
    <row r="160" spans="2:29" x14ac:dyDescent="0.3">
      <c r="B160" s="5" t="s">
        <v>194</v>
      </c>
      <c r="C160" s="5" t="s">
        <v>2</v>
      </c>
      <c r="D160" s="5" t="s">
        <v>198</v>
      </c>
      <c r="E160" s="5" t="s">
        <v>25</v>
      </c>
      <c r="F160" s="5" t="s">
        <v>42</v>
      </c>
      <c r="G160" s="5" t="s">
        <v>27</v>
      </c>
      <c r="H160" s="5" t="s">
        <v>37</v>
      </c>
      <c r="I160" s="5" t="s">
        <v>511</v>
      </c>
      <c r="J160" s="5" t="s">
        <v>311</v>
      </c>
      <c r="K160" s="5" t="s">
        <v>324</v>
      </c>
      <c r="L160" s="5">
        <f>_xlfn.XLOOKUP(TB_Kochi[[#This Row],[MIS_Group1]],PL_Consol!B:B,PL_Consol!C:C)</f>
        <v>13</v>
      </c>
      <c r="M160" s="16">
        <v>62141</v>
      </c>
      <c r="N160" s="16">
        <v>120867</v>
      </c>
      <c r="O160" s="16">
        <v>135359</v>
      </c>
      <c r="P160" s="16">
        <v>133045</v>
      </c>
      <c r="Q160" s="16">
        <v>154194</v>
      </c>
      <c r="R160" s="16">
        <v>228746</v>
      </c>
      <c r="S160" s="16">
        <v>180770.94</v>
      </c>
      <c r="T160" s="16">
        <v>192382</v>
      </c>
      <c r="U160" s="16">
        <v>114895</v>
      </c>
      <c r="V160" s="17">
        <v>150044</v>
      </c>
      <c r="W160" s="17">
        <v>129567</v>
      </c>
      <c r="X160" s="17">
        <v>907748.86</v>
      </c>
      <c r="Y160" s="17">
        <f>SUM(TB_Kochi[[#This Row],[Apr]:[Mar]])</f>
        <v>2509759.7999999998</v>
      </c>
      <c r="Z160" s="89">
        <v>2509759.7999999998</v>
      </c>
      <c r="AA160" s="17">
        <v>53304</v>
      </c>
      <c r="AB160" s="17">
        <f>IFERROR(_xlfn.XLOOKUP(TB_Kochi[[#This Row],[Description]],[1]trialbalancePDS.rpt!$K$1:$K$65536,[1]trialbalancePDS.rpt!$J$1:$J$65536,0),0)</f>
        <v>67483</v>
      </c>
      <c r="AC160" s="17"/>
    </row>
    <row r="161" spans="2:29" x14ac:dyDescent="0.3">
      <c r="B161" s="5" t="s">
        <v>38</v>
      </c>
      <c r="C161" s="5" t="s">
        <v>2</v>
      </c>
      <c r="D161" s="5" t="s">
        <v>198</v>
      </c>
      <c r="E161" s="5" t="s">
        <v>25</v>
      </c>
      <c r="F161" s="5" t="s">
        <v>42</v>
      </c>
      <c r="G161" s="5" t="s">
        <v>27</v>
      </c>
      <c r="H161" s="5" t="s">
        <v>38</v>
      </c>
      <c r="I161" s="5" t="s">
        <v>511</v>
      </c>
      <c r="J161" s="5" t="s">
        <v>289</v>
      </c>
      <c r="K161" s="5" t="s">
        <v>327</v>
      </c>
      <c r="L161" s="5">
        <f>_xlfn.XLOOKUP(TB_Kochi[[#This Row],[MIS_Group1]],PL_Consol!B:B,PL_Consol!C:C)</f>
        <v>12</v>
      </c>
      <c r="M161" s="16">
        <v>2300</v>
      </c>
      <c r="N161" s="16">
        <v>3663</v>
      </c>
      <c r="O161" s="16">
        <v>1030</v>
      </c>
      <c r="P161" s="16">
        <v>2360</v>
      </c>
      <c r="Q161" s="16">
        <v>4218</v>
      </c>
      <c r="R161" s="16">
        <v>5978</v>
      </c>
      <c r="S161" s="16">
        <v>9779</v>
      </c>
      <c r="T161" s="16">
        <v>1960</v>
      </c>
      <c r="U161" s="16">
        <v>15314</v>
      </c>
      <c r="V161" s="17">
        <v>13190</v>
      </c>
      <c r="W161" s="17">
        <v>32810</v>
      </c>
      <c r="X161" s="17">
        <v>14631</v>
      </c>
      <c r="Y161" s="17">
        <f>SUM(TB_Kochi[[#This Row],[Apr]:[Mar]])</f>
        <v>107233</v>
      </c>
      <c r="Z161" s="89">
        <v>107233</v>
      </c>
      <c r="AA161" s="17">
        <v>12790</v>
      </c>
      <c r="AB161" s="17">
        <f>IFERROR(_xlfn.XLOOKUP(TB_Kochi[[#This Row],[Description]],[1]trialbalancePDS.rpt!$K$1:$K$65536,[1]trialbalancePDS.rpt!$J$1:$J$65536,0),0)</f>
        <v>2950</v>
      </c>
      <c r="AC161" s="17"/>
    </row>
    <row r="162" spans="2:29" x14ac:dyDescent="0.3">
      <c r="B162" s="5" t="s">
        <v>195</v>
      </c>
      <c r="C162" s="5" t="s">
        <v>2</v>
      </c>
      <c r="D162" s="5" t="s">
        <v>198</v>
      </c>
      <c r="E162" s="5" t="s">
        <v>25</v>
      </c>
      <c r="F162" s="5" t="s">
        <v>42</v>
      </c>
      <c r="G162" s="5" t="s">
        <v>39</v>
      </c>
      <c r="H162" s="5" t="s">
        <v>39</v>
      </c>
      <c r="I162" s="5" t="s">
        <v>511</v>
      </c>
      <c r="J162" s="5" t="s">
        <v>270</v>
      </c>
      <c r="K162" s="5" t="s">
        <v>328</v>
      </c>
      <c r="L162" s="5">
        <f>_xlfn.XLOOKUP(TB_Kochi[[#This Row],[MIS_Group1]],PL_Consol!B:B,PL_Consol!C:C)</f>
        <v>26</v>
      </c>
      <c r="M162" s="16">
        <v>0</v>
      </c>
      <c r="N162" s="16">
        <v>89200</v>
      </c>
      <c r="O162" s="16">
        <v>95146</v>
      </c>
      <c r="P162" s="16">
        <v>82972</v>
      </c>
      <c r="Q162" s="16">
        <v>66267</v>
      </c>
      <c r="R162" s="16">
        <v>0</v>
      </c>
      <c r="S162" s="16">
        <v>45623</v>
      </c>
      <c r="T162" s="16">
        <v>47573</v>
      </c>
      <c r="U162" s="16">
        <v>0</v>
      </c>
      <c r="V162" s="17">
        <v>45623</v>
      </c>
      <c r="W162" s="17">
        <v>81337</v>
      </c>
      <c r="X162" s="17">
        <v>113871</v>
      </c>
      <c r="Y162" s="17">
        <f>SUM(TB_Kochi[[#This Row],[Apr]:[Mar]])</f>
        <v>667612</v>
      </c>
      <c r="Z162" s="89">
        <v>667612</v>
      </c>
      <c r="AA162" s="17">
        <v>0</v>
      </c>
      <c r="AB162" s="17">
        <f>IFERROR(_xlfn.XLOOKUP(TB_Kochi[[#This Row],[Description]],[1]trialbalancePDS.rpt!$K$1:$K$65536,[1]trialbalancePDS.rpt!$J$1:$J$65536,0),0)</f>
        <v>0</v>
      </c>
      <c r="AC162" s="17"/>
    </row>
    <row r="163" spans="2:29" x14ac:dyDescent="0.3">
      <c r="B163" s="5" t="s">
        <v>41</v>
      </c>
      <c r="C163" s="5" t="s">
        <v>2</v>
      </c>
      <c r="D163" s="5" t="s">
        <v>198</v>
      </c>
      <c r="E163" s="5" t="s">
        <v>25</v>
      </c>
      <c r="F163" s="5" t="s">
        <v>42</v>
      </c>
      <c r="G163" s="5" t="s">
        <v>40</v>
      </c>
      <c r="H163" s="5" t="s">
        <v>40</v>
      </c>
      <c r="I163" s="5" t="s">
        <v>511</v>
      </c>
      <c r="J163" s="5" t="s">
        <v>288</v>
      </c>
      <c r="K163" s="5" t="s">
        <v>288</v>
      </c>
      <c r="L163" s="5">
        <f>_xlfn.XLOOKUP(TB_Kochi[[#This Row],[MIS_Group1]],PL_Consol!B:B,PL_Consol!C:C)</f>
        <v>15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7">
        <v>0</v>
      </c>
      <c r="W163" s="17">
        <v>0</v>
      </c>
      <c r="X163" s="17">
        <v>0</v>
      </c>
      <c r="Y163" s="17">
        <f>SUM(TB_Kochi[[#This Row],[Apr]:[Mar]])</f>
        <v>0</v>
      </c>
      <c r="Z163" s="89">
        <v>0</v>
      </c>
      <c r="AA163" s="17">
        <v>0</v>
      </c>
      <c r="AB163" s="17">
        <f>IFERROR(_xlfn.XLOOKUP(TB_Kochi[[#This Row],[Description]],[1]trialbalancePDS.rpt!$K$1:$K$65536,[1]trialbalancePDS.rpt!$J$1:$J$65536,0),0)</f>
        <v>0</v>
      </c>
      <c r="AC163" s="17"/>
    </row>
    <row r="164" spans="2:29" x14ac:dyDescent="0.3">
      <c r="B164" s="5" t="s">
        <v>253</v>
      </c>
      <c r="C164" s="5" t="s">
        <v>2</v>
      </c>
      <c r="D164" s="5" t="s">
        <v>198</v>
      </c>
      <c r="E164" s="5" t="s">
        <v>25</v>
      </c>
      <c r="F164" s="5" t="s">
        <v>55</v>
      </c>
      <c r="G164" s="5" t="s">
        <v>258</v>
      </c>
      <c r="H164" s="5" t="s">
        <v>258</v>
      </c>
      <c r="I164" s="5" t="s">
        <v>511</v>
      </c>
      <c r="J164" s="5" t="s">
        <v>204</v>
      </c>
      <c r="K164" s="5" t="e">
        <v>#N/A</v>
      </c>
      <c r="L164" s="5">
        <f>_xlfn.XLOOKUP(TB_Kochi[[#This Row],[MIS_Group1]],PL_Consol!B:B,PL_Consol!C:C)</f>
        <v>29</v>
      </c>
      <c r="M164" s="17">
        <v>0</v>
      </c>
      <c r="N164" s="16">
        <v>2189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6">
        <v>0</v>
      </c>
      <c r="V164" s="17">
        <v>0</v>
      </c>
      <c r="W164" s="17">
        <v>0</v>
      </c>
      <c r="X164" s="17">
        <v>0</v>
      </c>
      <c r="Y164" s="17">
        <f>SUM(TB_Kochi[[#This Row],[Apr]:[Mar]])</f>
        <v>2189</v>
      </c>
      <c r="Z164" s="89">
        <v>2189</v>
      </c>
      <c r="AA164" s="17">
        <v>0</v>
      </c>
      <c r="AB164" s="17">
        <f>IFERROR(_xlfn.XLOOKUP(TB_Kochi[[#This Row],[Description]],[1]trialbalancePDS.rpt!$K$1:$K$65536,[1]trialbalancePDS.rpt!$J$1:$J$65536,0),0)</f>
        <v>0</v>
      </c>
      <c r="AC164" s="17"/>
    </row>
    <row r="165" spans="2:29" x14ac:dyDescent="0.3">
      <c r="B165" s="5" t="s">
        <v>468</v>
      </c>
      <c r="C165" s="5" t="s">
        <v>2</v>
      </c>
      <c r="D165" s="5" t="s">
        <v>197</v>
      </c>
      <c r="E165" s="5" t="s">
        <v>3</v>
      </c>
      <c r="F165" s="5" t="s">
        <v>226</v>
      </c>
      <c r="G165" s="5" t="s">
        <v>7</v>
      </c>
      <c r="H165" s="5" t="s">
        <v>236</v>
      </c>
      <c r="I165" s="5" t="s">
        <v>511</v>
      </c>
      <c r="J165" s="5" t="s">
        <v>203</v>
      </c>
      <c r="K165" s="5" t="s">
        <v>203</v>
      </c>
      <c r="L165" s="5">
        <f>_xlfn.XLOOKUP(TB_Kochi[[#This Row],[MIS_Group1]],PL_Consol!B:B,PL_Consol!C:C)</f>
        <v>1</v>
      </c>
      <c r="M165" s="17">
        <v>0</v>
      </c>
      <c r="N165" s="16">
        <v>0</v>
      </c>
      <c r="O165" s="17">
        <v>-378600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6">
        <v>0</v>
      </c>
      <c r="V165" s="17">
        <v>0</v>
      </c>
      <c r="W165" s="17">
        <v>0</v>
      </c>
      <c r="X165" s="17">
        <v>0</v>
      </c>
      <c r="Y165" s="17">
        <f>SUM(TB_Kochi[[#This Row],[Apr]:[Mar]])</f>
        <v>-378600</v>
      </c>
      <c r="Z165" s="89">
        <v>-378600</v>
      </c>
      <c r="AA165" s="17">
        <v>-257300</v>
      </c>
      <c r="AB165" s="17">
        <f>IFERROR(_xlfn.XLOOKUP(TB_Kochi[[#This Row],[Description]],[1]trialbalancePDS.rpt!$K$1:$K$65536,[1]trialbalancePDS.rpt!$J$1:$J$65536,0),0)</f>
        <v>-367422</v>
      </c>
      <c r="AC165" s="17"/>
    </row>
    <row r="166" spans="2:29" x14ac:dyDescent="0.3">
      <c r="B166" s="5" t="s">
        <v>469</v>
      </c>
      <c r="C166" s="5" t="s">
        <v>2</v>
      </c>
      <c r="D166" s="5" t="s">
        <v>197</v>
      </c>
      <c r="E166" s="5" t="s">
        <v>3</v>
      </c>
      <c r="F166" s="5" t="s">
        <v>226</v>
      </c>
      <c r="G166" s="5" t="s">
        <v>7</v>
      </c>
      <c r="H166" s="5" t="s">
        <v>236</v>
      </c>
      <c r="I166" s="5" t="s">
        <v>511</v>
      </c>
      <c r="J166" s="5" t="s">
        <v>203</v>
      </c>
      <c r="K166" s="5" t="s">
        <v>203</v>
      </c>
      <c r="L166" s="5">
        <f>_xlfn.XLOOKUP(TB_Kochi[[#This Row],[MIS_Group1]],PL_Consol!B:B,PL_Consol!C:C)</f>
        <v>1</v>
      </c>
      <c r="M166" s="17">
        <v>0</v>
      </c>
      <c r="N166" s="16">
        <v>0</v>
      </c>
      <c r="O166" s="17">
        <v>-61900</v>
      </c>
      <c r="P166" s="17">
        <v>0</v>
      </c>
      <c r="Q166" s="17">
        <v>0</v>
      </c>
      <c r="R166" s="17">
        <v>0</v>
      </c>
      <c r="S166" s="17">
        <v>0</v>
      </c>
      <c r="T166" s="17">
        <v>-96745</v>
      </c>
      <c r="U166" s="16">
        <v>-256360</v>
      </c>
      <c r="V166" s="17">
        <v>-148450</v>
      </c>
      <c r="W166" s="17">
        <v>-354990</v>
      </c>
      <c r="X166" s="17">
        <v>-231640</v>
      </c>
      <c r="Y166" s="17">
        <f>SUM(TB_Kochi[[#This Row],[Apr]:[Mar]])</f>
        <v>-1150085</v>
      </c>
      <c r="Z166" s="89">
        <v>-1150085</v>
      </c>
      <c r="AA166" s="17">
        <v>-164950</v>
      </c>
      <c r="AB166" s="17">
        <f>IFERROR(_xlfn.XLOOKUP(TB_Kochi[[#This Row],[Description]],[1]trialbalancePDS.rpt!$K$1:$K$65536,[1]trialbalancePDS.rpt!$J$1:$J$65536,0),0)</f>
        <v>-260500</v>
      </c>
      <c r="AC166" s="17"/>
    </row>
    <row r="167" spans="2:29" x14ac:dyDescent="0.3">
      <c r="B167" s="5" t="s">
        <v>470</v>
      </c>
      <c r="C167" s="5" t="s">
        <v>2</v>
      </c>
      <c r="D167" s="5" t="s">
        <v>198</v>
      </c>
      <c r="E167" s="5" t="s">
        <v>25</v>
      </c>
      <c r="F167" s="5" t="s">
        <v>26</v>
      </c>
      <c r="G167" s="5" t="s">
        <v>61</v>
      </c>
      <c r="H167" s="5" t="s">
        <v>61</v>
      </c>
      <c r="I167" s="5" t="s">
        <v>511</v>
      </c>
      <c r="J167" s="5" t="s">
        <v>268</v>
      </c>
      <c r="K167" s="5" t="s">
        <v>269</v>
      </c>
      <c r="L167" s="5">
        <f>_xlfn.XLOOKUP(TB_Kochi[[#This Row],[MIS_Group1]],PL_Consol!B:B,PL_Consol!C:C)</f>
        <v>8</v>
      </c>
      <c r="M167" s="17">
        <v>0</v>
      </c>
      <c r="N167" s="16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6">
        <v>0</v>
      </c>
      <c r="V167" s="17">
        <v>0</v>
      </c>
      <c r="W167" s="17">
        <v>0</v>
      </c>
      <c r="X167" s="17">
        <v>0</v>
      </c>
      <c r="Y167" s="19">
        <f>SUM(TB_Kochi[[#This Row],[Apr]:[Mar]])</f>
        <v>0</v>
      </c>
      <c r="Z167" s="89">
        <v>0</v>
      </c>
      <c r="AA167" s="19">
        <v>0</v>
      </c>
      <c r="AB167" s="17">
        <f>IFERROR(_xlfn.XLOOKUP(TB_Kochi[[#This Row],[Description]],[1]trialbalancePDS.rpt!$K$1:$K$65536,[1]trialbalancePDS.rpt!$J$1:$J$65536,0),0)</f>
        <v>0</v>
      </c>
      <c r="AC167" s="19"/>
    </row>
    <row r="168" spans="2:29" x14ac:dyDescent="0.3">
      <c r="B168" s="5" t="s">
        <v>472</v>
      </c>
      <c r="C168" s="5" t="s">
        <v>2</v>
      </c>
      <c r="D168" s="5" t="s">
        <v>198</v>
      </c>
      <c r="E168" s="5" t="s">
        <v>25</v>
      </c>
      <c r="F168" s="5" t="s">
        <v>42</v>
      </c>
      <c r="G168" s="5" t="s">
        <v>27</v>
      </c>
      <c r="H168" s="5" t="s">
        <v>29</v>
      </c>
      <c r="I168" s="5" t="s">
        <v>511</v>
      </c>
      <c r="J168" s="5" t="s">
        <v>311</v>
      </c>
      <c r="K168" s="5" t="s">
        <v>472</v>
      </c>
      <c r="L168" s="5">
        <f>_xlfn.XLOOKUP(TB_Kochi[[#This Row],[MIS_Group1]],PL_Consol!B:B,PL_Consol!C:C)</f>
        <v>13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6">
        <v>0</v>
      </c>
      <c r="V168" s="17">
        <v>0</v>
      </c>
      <c r="W168" s="17">
        <v>0</v>
      </c>
      <c r="X168" s="17">
        <v>0</v>
      </c>
      <c r="Y168" s="17">
        <f>SUM(TB_Kochi[[#This Row],[Apr]:[Mar]])</f>
        <v>0</v>
      </c>
      <c r="Z168" s="89">
        <v>0</v>
      </c>
      <c r="AA168" s="17">
        <v>0</v>
      </c>
      <c r="AB168" s="17">
        <f>IFERROR(_xlfn.XLOOKUP(TB_Kochi[[#This Row],[Description]],[1]trialbalancePDS.rpt!$K$1:$K$65536,[1]trialbalancePDS.rpt!$J$1:$J$65536,0),0)</f>
        <v>0</v>
      </c>
      <c r="AC168" s="17"/>
    </row>
    <row r="169" spans="2:29" x14ac:dyDescent="0.3">
      <c r="B169" s="5" t="s">
        <v>473</v>
      </c>
      <c r="C169" s="5" t="s">
        <v>2</v>
      </c>
      <c r="D169" s="5" t="s">
        <v>198</v>
      </c>
      <c r="E169" s="5" t="s">
        <v>25</v>
      </c>
      <c r="F169" s="5" t="s">
        <v>26</v>
      </c>
      <c r="G169" s="5" t="s">
        <v>473</v>
      </c>
      <c r="H169" s="5" t="s">
        <v>473</v>
      </c>
      <c r="I169" s="5" t="s">
        <v>511</v>
      </c>
      <c r="J169" s="5" t="s">
        <v>268</v>
      </c>
      <c r="K169" s="5" t="s">
        <v>269</v>
      </c>
      <c r="L169" s="5">
        <f>_xlfn.XLOOKUP(TB_Kochi[[#This Row],[MIS_Group1]],PL_Consol!B:B,PL_Consol!C:C)</f>
        <v>8</v>
      </c>
      <c r="M169" s="17">
        <v>713528</v>
      </c>
      <c r="N169" s="17">
        <v>495875.89</v>
      </c>
      <c r="O169" s="17">
        <v>2171636.87</v>
      </c>
      <c r="P169" s="17">
        <v>1560889.37</v>
      </c>
      <c r="Q169" s="17">
        <v>1565849.74</v>
      </c>
      <c r="R169" s="17">
        <v>1498555.49</v>
      </c>
      <c r="S169" s="17">
        <v>3627727.21</v>
      </c>
      <c r="T169" s="17">
        <v>1640136.8</v>
      </c>
      <c r="U169" s="16">
        <v>2565228.5699999998</v>
      </c>
      <c r="V169" s="17">
        <v>1627822.83</v>
      </c>
      <c r="W169" s="17">
        <v>2671519.33</v>
      </c>
      <c r="X169" s="17">
        <v>2320717.81</v>
      </c>
      <c r="Y169" s="17">
        <f>SUM(TB_Kochi[[#This Row],[Apr]:[Mar]])</f>
        <v>22459487.91</v>
      </c>
      <c r="Z169" s="89">
        <v>22459487.91</v>
      </c>
      <c r="AA169" s="17">
        <v>1837371.49</v>
      </c>
      <c r="AB169" s="17">
        <f>IFERROR(_xlfn.XLOOKUP(TB_Kochi[[#This Row],[Description]],[1]trialbalancePDS.rpt!$K$1:$K$65536,[1]trialbalancePDS.rpt!$J$1:$J$65536,0),0)</f>
        <v>1874632.09</v>
      </c>
      <c r="AC169" s="17"/>
    </row>
    <row r="170" spans="2:29" x14ac:dyDescent="0.3">
      <c r="B170" s="5" t="s">
        <v>474</v>
      </c>
      <c r="C170" s="5" t="s">
        <v>2</v>
      </c>
      <c r="D170" s="5" t="s">
        <v>198</v>
      </c>
      <c r="E170" s="5" t="s">
        <v>25</v>
      </c>
      <c r="F170" s="5" t="s">
        <v>42</v>
      </c>
      <c r="G170" s="5" t="s">
        <v>27</v>
      </c>
      <c r="H170" s="5" t="s">
        <v>32</v>
      </c>
      <c r="I170" s="5" t="s">
        <v>511</v>
      </c>
      <c r="J170" s="5" t="s">
        <v>205</v>
      </c>
      <c r="K170" s="5" t="s">
        <v>493</v>
      </c>
      <c r="L170" s="5">
        <f>_xlfn.XLOOKUP(TB_Kochi[[#This Row],[MIS_Group1]],PL_Consol!B:B,PL_Consol!C:C)</f>
        <v>9</v>
      </c>
      <c r="M170" s="17">
        <v>0</v>
      </c>
      <c r="N170" s="17">
        <v>0</v>
      </c>
      <c r="O170" s="17">
        <v>0</v>
      </c>
      <c r="P170" s="17">
        <v>0</v>
      </c>
      <c r="Q170" s="17">
        <v>206115</v>
      </c>
      <c r="R170" s="17">
        <v>0</v>
      </c>
      <c r="S170" s="17">
        <v>99085</v>
      </c>
      <c r="T170" s="17">
        <v>0</v>
      </c>
      <c r="U170" s="16">
        <v>36750</v>
      </c>
      <c r="V170" s="17">
        <v>32830</v>
      </c>
      <c r="W170" s="17">
        <v>0</v>
      </c>
      <c r="X170" s="17">
        <v>65466</v>
      </c>
      <c r="Y170" s="17">
        <f>SUM(TB_Kochi[[#This Row],[Apr]:[Mar]])</f>
        <v>440246</v>
      </c>
      <c r="Z170" s="89">
        <v>440246</v>
      </c>
      <c r="AA170" s="17">
        <v>0</v>
      </c>
      <c r="AB170" s="17">
        <f>IFERROR(_xlfn.XLOOKUP(TB_Kochi[[#This Row],[Description]],[1]trialbalancePDS.rpt!$K$1:$K$65536,[1]trialbalancePDS.rpt!$J$1:$J$65536,0),0)</f>
        <v>0</v>
      </c>
      <c r="AC170" s="17"/>
    </row>
    <row r="171" spans="2:29" x14ac:dyDescent="0.3">
      <c r="B171" s="5" t="s">
        <v>236</v>
      </c>
      <c r="C171" s="5" t="s">
        <v>2</v>
      </c>
      <c r="D171" s="5" t="s">
        <v>197</v>
      </c>
      <c r="E171" s="5" t="s">
        <v>3</v>
      </c>
      <c r="F171" s="5" t="s">
        <v>226</v>
      </c>
      <c r="G171" s="5" t="s">
        <v>7</v>
      </c>
      <c r="H171" s="5" t="s">
        <v>236</v>
      </c>
      <c r="I171" s="5" t="s">
        <v>511</v>
      </c>
      <c r="J171" s="5" t="s">
        <v>203</v>
      </c>
      <c r="K171" s="5" t="s">
        <v>203</v>
      </c>
      <c r="L171" s="5">
        <f>_xlfn.XLOOKUP(TB_Kochi[[#This Row],[MIS_Group1]],PL_Consol!B:B,PL_Consol!C:C)</f>
        <v>1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6">
        <v>0</v>
      </c>
      <c r="V171" s="17">
        <v>0</v>
      </c>
      <c r="W171" s="17">
        <v>0</v>
      </c>
      <c r="X171" s="17">
        <v>0</v>
      </c>
      <c r="Y171" s="17">
        <f>SUM(TB_Kochi[[#This Row],[Apr]:[Mar]])</f>
        <v>0</v>
      </c>
      <c r="Z171" s="89">
        <v>0</v>
      </c>
      <c r="AA171" s="17">
        <v>0</v>
      </c>
      <c r="AB171" s="17">
        <f>IFERROR(_xlfn.XLOOKUP(TB_Kochi[[#This Row],[Description]],[1]trialbalancePDS.rpt!$K$1:$K$65536,[1]trialbalancePDS.rpt!$J$1:$J$65536,0),0)</f>
        <v>0</v>
      </c>
      <c r="AC171" s="17"/>
    </row>
    <row r="172" spans="2:29" x14ac:dyDescent="0.3">
      <c r="B172" s="5" t="s">
        <v>475</v>
      </c>
      <c r="C172" s="5" t="s">
        <v>2</v>
      </c>
      <c r="D172" s="5" t="s">
        <v>197</v>
      </c>
      <c r="E172" s="5" t="s">
        <v>12</v>
      </c>
      <c r="F172" s="5" t="s">
        <v>13</v>
      </c>
      <c r="G172" s="5" t="s">
        <v>13</v>
      </c>
      <c r="H172" s="5" t="s">
        <v>13</v>
      </c>
      <c r="I172" s="5" t="s">
        <v>511</v>
      </c>
      <c r="J172" s="5" t="s">
        <v>12</v>
      </c>
      <c r="K172" s="5" t="s">
        <v>494</v>
      </c>
      <c r="L172" s="5">
        <f>_xlfn.XLOOKUP(TB_Kochi[[#This Row],[MIS_Group1]],PL_Consol!B:B,PL_Consol!C:C)</f>
        <v>7</v>
      </c>
      <c r="M172" s="17">
        <v>0</v>
      </c>
      <c r="N172" s="17">
        <v>0</v>
      </c>
      <c r="O172" s="17">
        <v>0</v>
      </c>
      <c r="P172" s="17">
        <v>-302</v>
      </c>
      <c r="Q172" s="17">
        <v>0</v>
      </c>
      <c r="R172" s="17">
        <v>0</v>
      </c>
      <c r="S172" s="17">
        <v>0</v>
      </c>
      <c r="T172" s="17">
        <v>0</v>
      </c>
      <c r="U172" s="16">
        <v>0</v>
      </c>
      <c r="V172" s="17">
        <v>0</v>
      </c>
      <c r="W172" s="17">
        <v>0</v>
      </c>
      <c r="X172" s="17">
        <v>-1236130</v>
      </c>
      <c r="Y172" s="17">
        <f>SUM(TB_Kochi[[#This Row],[Apr]:[Mar]])</f>
        <v>-1236432</v>
      </c>
      <c r="Z172" s="89">
        <v>-1236432</v>
      </c>
      <c r="AA172" s="17">
        <v>0</v>
      </c>
      <c r="AB172" s="17">
        <f>IFERROR(_xlfn.XLOOKUP(TB_Kochi[[#This Row],[Description]],[1]trialbalancePDS.rpt!$K$1:$K$65536,[1]trialbalancePDS.rpt!$J$1:$J$65536,0),0)</f>
        <v>0</v>
      </c>
      <c r="AC172" s="17"/>
    </row>
    <row r="173" spans="2:29" x14ac:dyDescent="0.3">
      <c r="B173" s="5" t="s">
        <v>476</v>
      </c>
      <c r="C173" s="5" t="s">
        <v>2</v>
      </c>
      <c r="D173" s="5" t="s">
        <v>197</v>
      </c>
      <c r="E173" s="5" t="s">
        <v>12</v>
      </c>
      <c r="F173" s="5" t="s">
        <v>20</v>
      </c>
      <c r="G173" s="5" t="s">
        <v>20</v>
      </c>
      <c r="H173" s="5" t="s">
        <v>20</v>
      </c>
      <c r="I173" s="5" t="s">
        <v>511</v>
      </c>
      <c r="J173" s="5" t="s">
        <v>12</v>
      </c>
      <c r="K173" s="5" t="s">
        <v>476</v>
      </c>
      <c r="L173" s="5">
        <f>_xlfn.XLOOKUP(TB_Kochi[[#This Row],[MIS_Group1]],PL_Consol!B:B,PL_Consol!C:C)</f>
        <v>7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6">
        <v>0</v>
      </c>
      <c r="V173" s="17">
        <v>0</v>
      </c>
      <c r="W173" s="17">
        <v>0</v>
      </c>
      <c r="X173" s="17">
        <v>0</v>
      </c>
      <c r="Y173" s="17">
        <f>SUM(TB_Kochi[[#This Row],[Apr]:[Mar]])</f>
        <v>0</v>
      </c>
      <c r="Z173" s="89">
        <v>0</v>
      </c>
      <c r="AA173" s="17">
        <v>0</v>
      </c>
      <c r="AB173" s="17">
        <f>IFERROR(_xlfn.XLOOKUP(TB_Kochi[[#This Row],[Description]],[1]trialbalancePDS.rpt!$K$1:$K$65536,[1]trialbalancePDS.rpt!$J$1:$J$65536,0),0)</f>
        <v>0</v>
      </c>
      <c r="AC173" s="17"/>
    </row>
    <row r="174" spans="2:29" x14ac:dyDescent="0.3">
      <c r="B174" s="5" t="s">
        <v>477</v>
      </c>
      <c r="C174" s="5" t="s">
        <v>2</v>
      </c>
      <c r="D174" s="5" t="s">
        <v>198</v>
      </c>
      <c r="E174" s="5" t="s">
        <v>25</v>
      </c>
      <c r="F174" s="5" t="s">
        <v>57</v>
      </c>
      <c r="G174" s="5" t="s">
        <v>58</v>
      </c>
      <c r="H174" s="5" t="s">
        <v>477</v>
      </c>
      <c r="I174" s="5" t="s">
        <v>511</v>
      </c>
      <c r="J174" s="5" t="s">
        <v>272</v>
      </c>
      <c r="K174" s="5" t="s">
        <v>273</v>
      </c>
      <c r="L174" s="5">
        <f>_xlfn.XLOOKUP(TB_Kochi[[#This Row],[MIS_Group1]],PL_Consol!B:B,PL_Consol!C:C)</f>
        <v>10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6">
        <v>0</v>
      </c>
      <c r="V174" s="17">
        <v>0</v>
      </c>
      <c r="W174" s="17">
        <v>0</v>
      </c>
      <c r="X174" s="17">
        <v>0</v>
      </c>
      <c r="Y174" s="17">
        <f>SUM(TB_Kochi[[#This Row],[Apr]:[Mar]])</f>
        <v>0</v>
      </c>
      <c r="Z174" s="89">
        <v>0</v>
      </c>
      <c r="AA174" s="17">
        <v>0</v>
      </c>
      <c r="AB174" s="17">
        <f>IFERROR(_xlfn.XLOOKUP(TB_Kochi[[#This Row],[Description]],[1]trialbalancePDS.rpt!$K$1:$K$65536,[1]trialbalancePDS.rpt!$J$1:$J$65536,0),0)</f>
        <v>0</v>
      </c>
      <c r="AC174" s="17"/>
    </row>
    <row r="175" spans="2:29" x14ac:dyDescent="0.3">
      <c r="B175" s="5" t="s">
        <v>478</v>
      </c>
      <c r="C175" s="5" t="s">
        <v>2</v>
      </c>
      <c r="D175" s="5" t="s">
        <v>198</v>
      </c>
      <c r="E175" s="5" t="s">
        <v>25</v>
      </c>
      <c r="F175" s="5" t="s">
        <v>57</v>
      </c>
      <c r="G175" s="5" t="s">
        <v>58</v>
      </c>
      <c r="H175" s="5" t="s">
        <v>478</v>
      </c>
      <c r="I175" s="5" t="s">
        <v>511</v>
      </c>
      <c r="J175" s="5" t="s">
        <v>272</v>
      </c>
      <c r="K175" s="5" t="s">
        <v>273</v>
      </c>
      <c r="L175" s="5">
        <f>_xlfn.XLOOKUP(TB_Kochi[[#This Row],[MIS_Group1]],PL_Consol!B:B,PL_Consol!C:C)</f>
        <v>10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6">
        <v>23364</v>
      </c>
      <c r="V175" s="17">
        <v>0</v>
      </c>
      <c r="W175" s="17">
        <v>0</v>
      </c>
      <c r="X175" s="17">
        <v>0</v>
      </c>
      <c r="Y175" s="17">
        <f>SUM(TB_Kochi[[#This Row],[Apr]:[Mar]])</f>
        <v>23364</v>
      </c>
      <c r="Z175" s="89">
        <v>23364</v>
      </c>
      <c r="AA175" s="17">
        <v>0</v>
      </c>
      <c r="AB175" s="17">
        <f>IFERROR(_xlfn.XLOOKUP(TB_Kochi[[#This Row],[Description]],[1]trialbalancePDS.rpt!$K$1:$K$65536,[1]trialbalancePDS.rpt!$J$1:$J$65536,0),0)</f>
        <v>0</v>
      </c>
      <c r="AC175" s="17"/>
    </row>
    <row r="176" spans="2:29" x14ac:dyDescent="0.3">
      <c r="B176" s="5" t="s">
        <v>479</v>
      </c>
      <c r="C176" s="5" t="s">
        <v>2</v>
      </c>
      <c r="D176" s="5" t="s">
        <v>198</v>
      </c>
      <c r="E176" s="5" t="s">
        <v>25</v>
      </c>
      <c r="F176" s="5" t="s">
        <v>57</v>
      </c>
      <c r="G176" s="5" t="s">
        <v>58</v>
      </c>
      <c r="H176" s="5" t="s">
        <v>479</v>
      </c>
      <c r="I176" s="5" t="s">
        <v>511</v>
      </c>
      <c r="J176" s="5" t="s">
        <v>272</v>
      </c>
      <c r="K176" s="5" t="s">
        <v>273</v>
      </c>
      <c r="L176" s="5">
        <f>_xlfn.XLOOKUP(TB_Kochi[[#This Row],[MIS_Group1]],PL_Consol!B:B,PL_Consol!C:C)</f>
        <v>10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6">
        <v>0</v>
      </c>
      <c r="V176" s="17">
        <v>0</v>
      </c>
      <c r="W176" s="17">
        <v>0</v>
      </c>
      <c r="X176" s="17">
        <v>0</v>
      </c>
      <c r="Y176" s="17">
        <f>SUM(TB_Kochi[[#This Row],[Apr]:[Mar]])</f>
        <v>0</v>
      </c>
      <c r="Z176" s="89">
        <v>0</v>
      </c>
      <c r="AA176" s="17">
        <v>0</v>
      </c>
      <c r="AB176" s="17">
        <f>IFERROR(_xlfn.XLOOKUP(TB_Kochi[[#This Row],[Description]],[1]trialbalancePDS.rpt!$K$1:$K$65536,[1]trialbalancePDS.rpt!$J$1:$J$65536,0),0)</f>
        <v>0</v>
      </c>
      <c r="AC176" s="17"/>
    </row>
    <row r="177" spans="2:29" x14ac:dyDescent="0.3">
      <c r="B177" s="5" t="s">
        <v>480</v>
      </c>
      <c r="C177" s="5" t="s">
        <v>2</v>
      </c>
      <c r="D177" s="5" t="s">
        <v>198</v>
      </c>
      <c r="E177" s="5" t="s">
        <v>25</v>
      </c>
      <c r="F177" s="5" t="s">
        <v>55</v>
      </c>
      <c r="G177" s="5" t="s">
        <v>258</v>
      </c>
      <c r="H177" s="5" t="s">
        <v>258</v>
      </c>
      <c r="I177" s="5" t="s">
        <v>511</v>
      </c>
      <c r="J177" s="5" t="s">
        <v>204</v>
      </c>
      <c r="K177" s="5" t="s">
        <v>480</v>
      </c>
      <c r="L177" s="5">
        <f>_xlfn.XLOOKUP(TB_Kochi[[#This Row],[MIS_Group1]],PL_Consol!B:B,PL_Consol!C:C)</f>
        <v>29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6">
        <v>0</v>
      </c>
      <c r="V177" s="17">
        <v>0</v>
      </c>
      <c r="W177" s="17">
        <v>0</v>
      </c>
      <c r="X177" s="17">
        <v>0</v>
      </c>
      <c r="Y177" s="17">
        <f>SUM(TB_Kochi[[#This Row],[Apr]:[Mar]])</f>
        <v>0</v>
      </c>
      <c r="Z177" s="89">
        <v>0</v>
      </c>
      <c r="AA177" s="17">
        <v>0</v>
      </c>
      <c r="AB177" s="17">
        <f>IFERROR(_xlfn.XLOOKUP(TB_Kochi[[#This Row],[Description]],[1]trialbalancePDS.rpt!$K$1:$K$65536,[1]trialbalancePDS.rpt!$J$1:$J$65536,0),0)</f>
        <v>0</v>
      </c>
      <c r="AC177" s="17"/>
    </row>
    <row r="178" spans="2:29" x14ac:dyDescent="0.3">
      <c r="B178" s="5" t="s">
        <v>481</v>
      </c>
      <c r="C178" s="5" t="s">
        <v>2</v>
      </c>
      <c r="D178" s="5" t="s">
        <v>198</v>
      </c>
      <c r="E178" s="5" t="s">
        <v>25</v>
      </c>
      <c r="F178" s="5" t="s">
        <v>42</v>
      </c>
      <c r="G178" s="5" t="s">
        <v>47</v>
      </c>
      <c r="H178" s="5" t="s">
        <v>47</v>
      </c>
      <c r="I178" s="5" t="s">
        <v>511</v>
      </c>
      <c r="J178" s="5" t="s">
        <v>301</v>
      </c>
      <c r="K178" s="5" t="s">
        <v>495</v>
      </c>
      <c r="L178" s="5">
        <f>_xlfn.XLOOKUP(TB_Kochi[[#This Row],[MIS_Group1]],PL_Consol!B:B,PL_Consol!C:C)</f>
        <v>20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801252</v>
      </c>
      <c r="T178" s="17">
        <v>0</v>
      </c>
      <c r="U178" s="16">
        <v>0</v>
      </c>
      <c r="V178" s="17">
        <v>23117</v>
      </c>
      <c r="W178" s="17">
        <v>0</v>
      </c>
      <c r="X178" s="17">
        <v>787537</v>
      </c>
      <c r="Y178" s="17">
        <f>SUM(TB_Kochi[[#This Row],[Apr]:[Mar]])</f>
        <v>1611906</v>
      </c>
      <c r="Z178" s="89">
        <v>1611906</v>
      </c>
      <c r="AA178" s="17">
        <v>0</v>
      </c>
      <c r="AB178" s="17">
        <f>IFERROR(_xlfn.XLOOKUP(TB_Kochi[[#This Row],[Description]],[1]trialbalancePDS.rpt!$K$1:$K$65536,[1]trialbalancePDS.rpt!$J$1:$J$65536,0),0)</f>
        <v>0</v>
      </c>
      <c r="AC178" s="17"/>
    </row>
    <row r="179" spans="2:29" x14ac:dyDescent="0.3">
      <c r="B179" s="5" t="s">
        <v>482</v>
      </c>
      <c r="C179" s="5" t="s">
        <v>2</v>
      </c>
      <c r="D179" s="5" t="s">
        <v>198</v>
      </c>
      <c r="E179" s="5" t="s">
        <v>25</v>
      </c>
      <c r="F179" s="5" t="s">
        <v>42</v>
      </c>
      <c r="G179" s="5" t="s">
        <v>43</v>
      </c>
      <c r="H179" s="5" t="s">
        <v>43</v>
      </c>
      <c r="I179" s="5" t="s">
        <v>511</v>
      </c>
      <c r="J179" s="5" t="s">
        <v>270</v>
      </c>
      <c r="K179" s="5" t="s">
        <v>496</v>
      </c>
      <c r="L179" s="5">
        <f>_xlfn.XLOOKUP(TB_Kochi[[#This Row],[MIS_Group1]],PL_Consol!B:B,PL_Consol!C:C)</f>
        <v>26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6">
        <v>0</v>
      </c>
      <c r="V179" s="17">
        <v>0</v>
      </c>
      <c r="W179" s="17">
        <v>0</v>
      </c>
      <c r="X179" s="17">
        <v>0</v>
      </c>
      <c r="Y179" s="17">
        <f>SUM(TB_Kochi[[#This Row],[Apr]:[Mar]])</f>
        <v>0</v>
      </c>
      <c r="Z179" s="89">
        <v>0</v>
      </c>
      <c r="AA179" s="17">
        <v>0</v>
      </c>
      <c r="AB179" s="17">
        <f>IFERROR(_xlfn.XLOOKUP(TB_Kochi[[#This Row],[Description]],[1]trialbalancePDS.rpt!$K$1:$K$65536,[1]trialbalancePDS.rpt!$J$1:$J$65536,0),0)</f>
        <v>0</v>
      </c>
      <c r="AC179" s="17"/>
    </row>
    <row r="180" spans="2:29" x14ac:dyDescent="0.3">
      <c r="B180" s="5" t="s">
        <v>483</v>
      </c>
      <c r="C180" s="5" t="s">
        <v>2</v>
      </c>
      <c r="D180" s="5" t="s">
        <v>198</v>
      </c>
      <c r="E180" s="5" t="s">
        <v>25</v>
      </c>
      <c r="F180" s="5" t="s">
        <v>42</v>
      </c>
      <c r="G180" s="5" t="s">
        <v>27</v>
      </c>
      <c r="H180" s="5" t="s">
        <v>30</v>
      </c>
      <c r="I180" s="5" t="s">
        <v>511</v>
      </c>
      <c r="J180" s="5" t="s">
        <v>270</v>
      </c>
      <c r="K180" s="5" t="s">
        <v>271</v>
      </c>
      <c r="L180" s="5">
        <f>_xlfn.XLOOKUP(TB_Kochi[[#This Row],[MIS_Group1]],PL_Consol!B:B,PL_Consol!C:C)</f>
        <v>26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6">
        <v>0</v>
      </c>
      <c r="V180" s="17">
        <v>0</v>
      </c>
      <c r="W180" s="17">
        <v>0</v>
      </c>
      <c r="X180" s="17">
        <v>0</v>
      </c>
      <c r="Y180" s="17">
        <f>SUM(TB_Kochi[[#This Row],[Apr]:[Mar]])</f>
        <v>0</v>
      </c>
      <c r="Z180" s="89">
        <v>0</v>
      </c>
      <c r="AA180" s="17">
        <v>0</v>
      </c>
      <c r="AB180" s="17">
        <f>IFERROR(_xlfn.XLOOKUP(TB_Kochi[[#This Row],[Description]],[1]trialbalancePDS.rpt!$K$1:$K$65536,[1]trialbalancePDS.rpt!$J$1:$J$65536,0),0)</f>
        <v>0</v>
      </c>
      <c r="AC180" s="17"/>
    </row>
    <row r="181" spans="2:29" x14ac:dyDescent="0.3">
      <c r="B181" s="5" t="s">
        <v>484</v>
      </c>
      <c r="C181" s="5" t="s">
        <v>2</v>
      </c>
      <c r="D181" s="5" t="s">
        <v>198</v>
      </c>
      <c r="E181" s="5" t="s">
        <v>25</v>
      </c>
      <c r="F181" s="5" t="s">
        <v>42</v>
      </c>
      <c r="G181" s="5" t="s">
        <v>485</v>
      </c>
      <c r="H181" s="5" t="s">
        <v>485</v>
      </c>
      <c r="I181" s="5" t="s">
        <v>511</v>
      </c>
      <c r="J181" s="5" t="s">
        <v>332</v>
      </c>
      <c r="K181" s="5" t="s">
        <v>497</v>
      </c>
      <c r="L181" s="5">
        <f>_xlfn.XLOOKUP(TB_Kochi[[#This Row],[MIS_Group1]],PL_Consol!B:B,PL_Consol!C:C)</f>
        <v>28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6">
        <v>0</v>
      </c>
      <c r="V181" s="17">
        <v>0</v>
      </c>
      <c r="W181" s="17">
        <v>0</v>
      </c>
      <c r="X181" s="17">
        <v>0</v>
      </c>
      <c r="Y181" s="17">
        <f>SUM(TB_Kochi[[#This Row],[Apr]:[Mar]])</f>
        <v>0</v>
      </c>
      <c r="Z181" s="89">
        <v>0</v>
      </c>
      <c r="AA181" s="17">
        <v>0</v>
      </c>
      <c r="AB181" s="17">
        <f>IFERROR(_xlfn.XLOOKUP(TB_Kochi[[#This Row],[Description]],[1]trialbalancePDS.rpt!$K$1:$K$65536,[1]trialbalancePDS.rpt!$J$1:$J$65536,0),0)</f>
        <v>0</v>
      </c>
      <c r="AC181" s="17"/>
    </row>
    <row r="182" spans="2:29" x14ac:dyDescent="0.3">
      <c r="B182" s="5" t="s">
        <v>485</v>
      </c>
      <c r="C182" s="5" t="s">
        <v>2</v>
      </c>
      <c r="D182" s="5" t="s">
        <v>198</v>
      </c>
      <c r="E182" s="5" t="s">
        <v>25</v>
      </c>
      <c r="F182" s="5" t="s">
        <v>42</v>
      </c>
      <c r="G182" s="5" t="s">
        <v>485</v>
      </c>
      <c r="H182" s="5" t="s">
        <v>485</v>
      </c>
      <c r="I182" s="5" t="s">
        <v>511</v>
      </c>
      <c r="J182" s="5" t="s">
        <v>332</v>
      </c>
      <c r="K182" s="5" t="s">
        <v>332</v>
      </c>
      <c r="L182" s="5">
        <f>_xlfn.XLOOKUP(TB_Kochi[[#This Row],[MIS_Group1]],PL_Consol!B:B,PL_Consol!C:C)</f>
        <v>28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6">
        <v>0</v>
      </c>
      <c r="V182" s="17">
        <v>0</v>
      </c>
      <c r="W182" s="17"/>
      <c r="X182" s="17"/>
      <c r="Y182" s="17">
        <f>SUM(TB_Kochi[[#This Row],[Apr]:[Mar]])</f>
        <v>0</v>
      </c>
      <c r="Z182" s="89"/>
      <c r="AA182" s="17">
        <v>0</v>
      </c>
      <c r="AB182" s="17">
        <f>IFERROR(_xlfn.XLOOKUP(TB_Kochi[[#This Row],[Description]],[1]trialbalancePDS.rpt!$K$1:$K$65536,[1]trialbalancePDS.rpt!$J$1:$J$65536,0),0)</f>
        <v>26383396</v>
      </c>
      <c r="AC182" s="17"/>
    </row>
    <row r="183" spans="2:29" x14ac:dyDescent="0.3">
      <c r="B183" s="5" t="s">
        <v>486</v>
      </c>
      <c r="C183" s="5" t="s">
        <v>2</v>
      </c>
      <c r="D183" s="5" t="s">
        <v>198</v>
      </c>
      <c r="E183" s="5" t="s">
        <v>25</v>
      </c>
      <c r="F183" s="5" t="s">
        <v>42</v>
      </c>
      <c r="G183" s="5" t="s">
        <v>485</v>
      </c>
      <c r="H183" s="5" t="s">
        <v>485</v>
      </c>
      <c r="I183" s="5" t="s">
        <v>511</v>
      </c>
      <c r="J183" s="5" t="s">
        <v>332</v>
      </c>
      <c r="K183" s="5" t="s">
        <v>498</v>
      </c>
      <c r="L183" s="5">
        <f>_xlfn.XLOOKUP(TB_Kochi[[#This Row],[MIS_Group1]],PL_Consol!B:B,PL_Consol!C:C)</f>
        <v>28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6">
        <v>0</v>
      </c>
      <c r="V183" s="17">
        <v>0</v>
      </c>
      <c r="W183" s="17">
        <v>0</v>
      </c>
      <c r="X183" s="17">
        <v>0</v>
      </c>
      <c r="Y183" s="17">
        <f>SUM(TB_Kochi[[#This Row],[Apr]:[Mar]])</f>
        <v>0</v>
      </c>
      <c r="Z183" s="89">
        <v>0</v>
      </c>
      <c r="AA183" s="17">
        <v>0</v>
      </c>
      <c r="AB183" s="17">
        <f>IFERROR(_xlfn.XLOOKUP(TB_Kochi[[#This Row],[Description]],[1]trialbalancePDS.rpt!$K$1:$K$65536,[1]trialbalancePDS.rpt!$J$1:$J$65536,0),0)</f>
        <v>0</v>
      </c>
      <c r="AC183" s="17"/>
    </row>
    <row r="184" spans="2:29" x14ac:dyDescent="0.3">
      <c r="B184" s="5" t="s">
        <v>487</v>
      </c>
      <c r="C184" s="5" t="s">
        <v>2</v>
      </c>
      <c r="D184" s="5" t="s">
        <v>198</v>
      </c>
      <c r="E184" s="5" t="s">
        <v>25</v>
      </c>
      <c r="F184" s="5" t="s">
        <v>42</v>
      </c>
      <c r="G184" s="5" t="s">
        <v>485</v>
      </c>
      <c r="H184" s="5" t="s">
        <v>485</v>
      </c>
      <c r="I184" s="5" t="s">
        <v>511</v>
      </c>
      <c r="J184" s="5" t="s">
        <v>332</v>
      </c>
      <c r="K184" s="5" t="s">
        <v>499</v>
      </c>
      <c r="L184" s="5">
        <f>_xlfn.XLOOKUP(TB_Kochi[[#This Row],[MIS_Group1]],PL_Consol!B:B,PL_Consol!C:C)</f>
        <v>28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6">
        <v>0</v>
      </c>
      <c r="V184" s="17">
        <v>0</v>
      </c>
      <c r="W184" s="17">
        <v>0</v>
      </c>
      <c r="X184" s="17">
        <v>0</v>
      </c>
      <c r="Y184" s="17">
        <f>SUM(TB_Kochi[[#This Row],[Apr]:[Mar]])</f>
        <v>0</v>
      </c>
      <c r="Z184" s="89">
        <v>0</v>
      </c>
      <c r="AA184" s="17">
        <v>0</v>
      </c>
      <c r="AB184" s="17">
        <f>IFERROR(_xlfn.XLOOKUP(TB_Kochi[[#This Row],[Description]],[1]trialbalancePDS.rpt!$K$1:$K$65536,[1]trialbalancePDS.rpt!$J$1:$J$65536,0),0)</f>
        <v>0</v>
      </c>
      <c r="AC184" s="17"/>
    </row>
    <row r="185" spans="2:29" x14ac:dyDescent="0.3">
      <c r="B185" s="5" t="s">
        <v>488</v>
      </c>
      <c r="C185" s="5" t="s">
        <v>2</v>
      </c>
      <c r="D185" s="5" t="s">
        <v>198</v>
      </c>
      <c r="E185" s="5" t="s">
        <v>25</v>
      </c>
      <c r="F185" s="5" t="s">
        <v>42</v>
      </c>
      <c r="G185" s="5" t="s">
        <v>490</v>
      </c>
      <c r="H185" s="5" t="s">
        <v>490</v>
      </c>
      <c r="I185" s="5" t="s">
        <v>511</v>
      </c>
      <c r="J185" s="5" t="s">
        <v>308</v>
      </c>
      <c r="K185" s="5"/>
      <c r="L185" s="5">
        <f>_xlfn.XLOOKUP(TB_Kochi[[#This Row],[MIS_Group1]],PL_Consol!B:B,PL_Consol!C:C)</f>
        <v>23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6">
        <v>0</v>
      </c>
      <c r="V185" s="17">
        <v>0</v>
      </c>
      <c r="W185" s="17"/>
      <c r="X185" s="17"/>
      <c r="Y185" s="17">
        <f>SUM(TB_Kochi[[#This Row],[Apr]:[Mar]])</f>
        <v>0</v>
      </c>
      <c r="Z185" s="89"/>
      <c r="AA185" s="17">
        <v>0</v>
      </c>
      <c r="AB185" s="17">
        <f>IFERROR(_xlfn.XLOOKUP(TB_Kochi[[#This Row],[Description]],[1]trialbalancePDS.rpt!$K$1:$K$65536,[1]trialbalancePDS.rpt!$J$1:$J$65536,0),0)</f>
        <v>0</v>
      </c>
      <c r="AC185" s="17"/>
    </row>
    <row r="186" spans="2:29" x14ac:dyDescent="0.3">
      <c r="B186" s="5" t="s">
        <v>489</v>
      </c>
      <c r="C186" s="5" t="s">
        <v>2</v>
      </c>
      <c r="D186" s="5" t="s">
        <v>198</v>
      </c>
      <c r="E186" s="5" t="s">
        <v>25</v>
      </c>
      <c r="F186" s="5" t="s">
        <v>42</v>
      </c>
      <c r="G186" s="5" t="s">
        <v>491</v>
      </c>
      <c r="H186" s="5" t="s">
        <v>491</v>
      </c>
      <c r="I186" s="5" t="s">
        <v>511</v>
      </c>
      <c r="J186" s="5" t="s">
        <v>272</v>
      </c>
      <c r="K186" s="5" t="s">
        <v>273</v>
      </c>
      <c r="L186" s="5">
        <f>_xlfn.XLOOKUP(TB_Kochi[[#This Row],[MIS_Group1]],PL_Consol!B:B,PL_Consol!C:C)</f>
        <v>10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6">
        <v>0</v>
      </c>
      <c r="V186" s="17">
        <v>0</v>
      </c>
      <c r="W186" s="17">
        <v>0</v>
      </c>
      <c r="X186" s="17">
        <v>0</v>
      </c>
      <c r="Y186" s="17">
        <f>SUM(TB_Kochi[[#This Row],[Apr]:[Mar]])</f>
        <v>0</v>
      </c>
      <c r="Z186" s="89">
        <v>0</v>
      </c>
      <c r="AA186" s="17">
        <v>0</v>
      </c>
      <c r="AB186" s="17">
        <f>IFERROR(_xlfn.XLOOKUP(TB_Kochi[[#This Row],[Description]],[1]trialbalancePDS.rpt!$K$1:$K$65536,[1]trialbalancePDS.rpt!$J$1:$J$65536,0),0)</f>
        <v>0</v>
      </c>
      <c r="AC186" s="17"/>
    </row>
    <row r="187" spans="2:29" x14ac:dyDescent="0.3">
      <c r="B187" s="5" t="s">
        <v>516</v>
      </c>
      <c r="C187" s="5" t="s">
        <v>2</v>
      </c>
      <c r="D187" s="5" t="s">
        <v>198</v>
      </c>
      <c r="E187" s="5" t="s">
        <v>25</v>
      </c>
      <c r="F187" s="5" t="s">
        <v>42</v>
      </c>
      <c r="G187" s="5"/>
      <c r="H187" s="5"/>
      <c r="I187" s="5" t="s">
        <v>511</v>
      </c>
      <c r="J187" s="5" t="s">
        <v>289</v>
      </c>
      <c r="K187" s="5" t="s">
        <v>290</v>
      </c>
      <c r="L187" s="5">
        <f>_xlfn.XLOOKUP(TB_Kochi[[#This Row],[MIS_Group1]],PL_Consol!B:B,PL_Consol!C:C)</f>
        <v>12</v>
      </c>
      <c r="M187" s="17"/>
      <c r="N187" s="17">
        <v>36108.42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6">
        <v>0</v>
      </c>
      <c r="V187" s="17">
        <v>0</v>
      </c>
      <c r="W187" s="17">
        <v>0</v>
      </c>
      <c r="X187" s="17">
        <v>0</v>
      </c>
      <c r="Y187" s="17">
        <f>SUM(TB_Kochi[[#This Row],[Apr]:[Mar]])</f>
        <v>36108.42</v>
      </c>
      <c r="Z187" s="89">
        <v>36108.42</v>
      </c>
      <c r="AA187" s="17">
        <v>0</v>
      </c>
      <c r="AB187" s="17">
        <f>IFERROR(_xlfn.XLOOKUP(TB_Kochi[[#This Row],[Description]],[1]trialbalancePDS.rpt!$K$1:$K$65536,[1]trialbalancePDS.rpt!$J$1:$J$65536,0),0)</f>
        <v>0</v>
      </c>
      <c r="AC187" s="17"/>
    </row>
    <row r="188" spans="2:29" x14ac:dyDescent="0.3">
      <c r="B188" s="5" t="s">
        <v>517</v>
      </c>
      <c r="C188" s="5" t="s">
        <v>2</v>
      </c>
      <c r="D188" s="5" t="s">
        <v>198</v>
      </c>
      <c r="E188" s="5" t="s">
        <v>25</v>
      </c>
      <c r="F188" s="5" t="s">
        <v>42</v>
      </c>
      <c r="G188" s="5"/>
      <c r="H188" s="5"/>
      <c r="I188" s="5" t="s">
        <v>511</v>
      </c>
      <c r="J188" s="5" t="s">
        <v>289</v>
      </c>
      <c r="K188" s="5" t="s">
        <v>292</v>
      </c>
      <c r="L188" s="5">
        <f>_xlfn.XLOOKUP(TB_Kochi[[#This Row],[MIS_Group1]],PL_Consol!B:B,PL_Consol!C:C)</f>
        <v>12</v>
      </c>
      <c r="M188" s="17"/>
      <c r="N188" s="17">
        <v>2301</v>
      </c>
      <c r="O188" s="17">
        <v>0</v>
      </c>
      <c r="P188" s="17">
        <v>1829</v>
      </c>
      <c r="Q188" s="17">
        <v>0</v>
      </c>
      <c r="R188" s="17">
        <v>0</v>
      </c>
      <c r="S188" s="17">
        <v>0</v>
      </c>
      <c r="T188" s="17">
        <v>0</v>
      </c>
      <c r="U188" s="16">
        <v>0</v>
      </c>
      <c r="V188" s="17">
        <v>0</v>
      </c>
      <c r="W188" s="17">
        <v>0</v>
      </c>
      <c r="X188" s="17">
        <v>0</v>
      </c>
      <c r="Y188" s="17">
        <f>SUM(TB_Kochi[[#This Row],[Apr]:[Mar]])</f>
        <v>4130</v>
      </c>
      <c r="Z188" s="89">
        <v>4130</v>
      </c>
      <c r="AA188" s="17">
        <v>0</v>
      </c>
      <c r="AB188" s="17">
        <f>IFERROR(_xlfn.XLOOKUP(TB_Kochi[[#This Row],[Description]],[1]trialbalancePDS.rpt!$K$1:$K$65536,[1]trialbalancePDS.rpt!$J$1:$J$65536,0),0)</f>
        <v>0</v>
      </c>
      <c r="AC188" s="17"/>
    </row>
    <row r="189" spans="2:29" x14ac:dyDescent="0.3">
      <c r="B189" s="5" t="s">
        <v>518</v>
      </c>
      <c r="C189" s="5" t="s">
        <v>2</v>
      </c>
      <c r="D189" s="5" t="s">
        <v>198</v>
      </c>
      <c r="E189" s="5" t="s">
        <v>25</v>
      </c>
      <c r="F189" s="5" t="s">
        <v>42</v>
      </c>
      <c r="G189" s="5"/>
      <c r="H189" s="5"/>
      <c r="I189" s="5" t="s">
        <v>511</v>
      </c>
      <c r="J189" s="5" t="s">
        <v>270</v>
      </c>
      <c r="K189" s="5" t="s">
        <v>271</v>
      </c>
      <c r="L189" s="5">
        <f>_xlfn.XLOOKUP(TB_Kochi[[#This Row],[MIS_Group1]],PL_Consol!B:B,PL_Consol!C:C)</f>
        <v>26</v>
      </c>
      <c r="M189" s="17"/>
      <c r="N189" s="17"/>
      <c r="O189" s="17">
        <v>5985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6">
        <v>0</v>
      </c>
      <c r="V189" s="17">
        <v>0</v>
      </c>
      <c r="W189" s="17">
        <v>0</v>
      </c>
      <c r="X189" s="17">
        <v>0</v>
      </c>
      <c r="Y189" s="17">
        <f>SUM(TB_Kochi[[#This Row],[Apr]:[Mar]])</f>
        <v>5985</v>
      </c>
      <c r="Z189" s="89">
        <v>5985</v>
      </c>
      <c r="AA189" s="17">
        <v>0</v>
      </c>
      <c r="AB189" s="17">
        <f>IFERROR(_xlfn.XLOOKUP(TB_Kochi[[#This Row],[Description]],[1]trialbalancePDS.rpt!$K$1:$K$65536,[1]trialbalancePDS.rpt!$J$1:$J$65536,0),0)</f>
        <v>0</v>
      </c>
      <c r="AC189" s="17"/>
    </row>
    <row r="190" spans="2:29" x14ac:dyDescent="0.3">
      <c r="B190" s="5" t="s">
        <v>519</v>
      </c>
      <c r="C190" s="5" t="s">
        <v>2</v>
      </c>
      <c r="D190" s="5" t="s">
        <v>197</v>
      </c>
      <c r="E190" s="5" t="s">
        <v>25</v>
      </c>
      <c r="F190" s="5" t="s">
        <v>42</v>
      </c>
      <c r="G190" s="5"/>
      <c r="H190" s="5"/>
      <c r="I190" s="5" t="s">
        <v>511</v>
      </c>
      <c r="J190" s="5" t="s">
        <v>12</v>
      </c>
      <c r="K190" s="5" t="s">
        <v>266</v>
      </c>
      <c r="L190" s="5">
        <f>_xlfn.XLOOKUP(TB_Kochi[[#This Row],[MIS_Group1]],PL_Consol!B:B,PL_Consol!C:C)</f>
        <v>7</v>
      </c>
      <c r="M190" s="17"/>
      <c r="N190" s="17"/>
      <c r="O190" s="17"/>
      <c r="P190" s="17">
        <v>-449999</v>
      </c>
      <c r="Q190" s="17">
        <v>0</v>
      </c>
      <c r="R190" s="17">
        <v>0</v>
      </c>
      <c r="S190" s="17">
        <v>0</v>
      </c>
      <c r="T190" s="17">
        <v>0</v>
      </c>
      <c r="U190" s="16">
        <v>0</v>
      </c>
      <c r="V190" s="17">
        <v>0</v>
      </c>
      <c r="W190" s="17">
        <v>0</v>
      </c>
      <c r="X190" s="17">
        <v>0</v>
      </c>
      <c r="Y190" s="17">
        <f>SUM(TB_Kochi[[#This Row],[Apr]:[Mar]])</f>
        <v>-449999</v>
      </c>
      <c r="Z190" s="89">
        <v>-449999</v>
      </c>
      <c r="AA190" s="17">
        <v>0</v>
      </c>
      <c r="AB190" s="17">
        <f>IFERROR(_xlfn.XLOOKUP(TB_Kochi[[#This Row],[Description]],[1]trialbalancePDS.rpt!$K$1:$K$65536,[1]trialbalancePDS.rpt!$J$1:$J$65536,0),0)</f>
        <v>0</v>
      </c>
      <c r="AC190" s="17"/>
    </row>
    <row r="191" spans="2:29" x14ac:dyDescent="0.3">
      <c r="B191" s="5" t="s">
        <v>520</v>
      </c>
      <c r="C191" s="5" t="s">
        <v>2</v>
      </c>
      <c r="D191" s="5" t="s">
        <v>198</v>
      </c>
      <c r="E191" s="5" t="s">
        <v>25</v>
      </c>
      <c r="F191" s="5" t="s">
        <v>42</v>
      </c>
      <c r="G191" s="5"/>
      <c r="H191" s="5"/>
      <c r="I191" s="5" t="s">
        <v>511</v>
      </c>
      <c r="J191" s="5" t="s">
        <v>261</v>
      </c>
      <c r="K191" s="5" t="s">
        <v>261</v>
      </c>
      <c r="L191" s="5">
        <f>_xlfn.XLOOKUP(TB_Kochi[[#This Row],[MIS_Group1]],PL_Consol!B:B,PL_Consol!C:C)</f>
        <v>5</v>
      </c>
      <c r="M191" s="17"/>
      <c r="N191" s="17"/>
      <c r="O191" s="17"/>
      <c r="P191" s="17">
        <v>750</v>
      </c>
      <c r="Q191" s="17">
        <v>0</v>
      </c>
      <c r="R191" s="17">
        <v>400</v>
      </c>
      <c r="S191" s="17">
        <v>0</v>
      </c>
      <c r="T191" s="17">
        <v>0</v>
      </c>
      <c r="U191" s="16">
        <v>0</v>
      </c>
      <c r="V191" s="17">
        <v>0</v>
      </c>
      <c r="W191" s="17">
        <v>0</v>
      </c>
      <c r="X191" s="17">
        <v>0</v>
      </c>
      <c r="Y191" s="17">
        <f>SUM(TB_Kochi[[#This Row],[Apr]:[Mar]])</f>
        <v>1150</v>
      </c>
      <c r="Z191" s="89">
        <v>1150</v>
      </c>
      <c r="AA191" s="17">
        <v>0</v>
      </c>
      <c r="AB191" s="17">
        <f>IFERROR(_xlfn.XLOOKUP(TB_Kochi[[#This Row],[Description]],[1]trialbalancePDS.rpt!$K$1:$K$65536,[1]trialbalancePDS.rpt!$J$1:$J$65536,0),0)</f>
        <v>0</v>
      </c>
      <c r="AC191" s="17"/>
    </row>
    <row r="192" spans="2:29" x14ac:dyDescent="0.3">
      <c r="B192" s="5" t="s">
        <v>521</v>
      </c>
      <c r="C192" s="5" t="s">
        <v>2</v>
      </c>
      <c r="D192" s="5" t="s">
        <v>198</v>
      </c>
      <c r="E192" s="5" t="s">
        <v>25</v>
      </c>
      <c r="F192" s="5" t="s">
        <v>42</v>
      </c>
      <c r="G192" s="5"/>
      <c r="H192" s="5"/>
      <c r="I192" s="5" t="s">
        <v>511</v>
      </c>
      <c r="J192" s="5" t="s">
        <v>272</v>
      </c>
      <c r="K192" s="5" t="s">
        <v>276</v>
      </c>
      <c r="L192" s="5">
        <f>_xlfn.XLOOKUP(TB_Kochi[[#This Row],[MIS_Group1]],PL_Consol!B:B,PL_Consol!C:C)</f>
        <v>10</v>
      </c>
      <c r="M192" s="17"/>
      <c r="N192" s="17"/>
      <c r="O192" s="17"/>
      <c r="P192" s="17"/>
      <c r="Q192" s="17">
        <v>29205</v>
      </c>
      <c r="R192" s="17">
        <v>-28206</v>
      </c>
      <c r="S192" s="17">
        <v>0</v>
      </c>
      <c r="T192" s="17">
        <v>0</v>
      </c>
      <c r="U192" s="16">
        <v>0</v>
      </c>
      <c r="V192" s="17">
        <v>0</v>
      </c>
      <c r="W192" s="17">
        <v>0</v>
      </c>
      <c r="X192" s="17">
        <v>5940</v>
      </c>
      <c r="Y192" s="17">
        <f>SUM(TB_Kochi[[#This Row],[Apr]:[Mar]])</f>
        <v>6939</v>
      </c>
      <c r="Z192" s="89">
        <v>6939</v>
      </c>
      <c r="AA192" s="17">
        <v>0</v>
      </c>
      <c r="AB192" s="17">
        <f>IFERROR(_xlfn.XLOOKUP(TB_Kochi[[#This Row],[Description]],[1]trialbalancePDS.rpt!$K$1:$K$65536,[1]trialbalancePDS.rpt!$J$1:$J$65536,0),0)</f>
        <v>0</v>
      </c>
      <c r="AC192" s="17"/>
    </row>
    <row r="193" spans="2:29" x14ac:dyDescent="0.3">
      <c r="B193" s="5" t="s">
        <v>522</v>
      </c>
      <c r="C193" s="5" t="s">
        <v>2</v>
      </c>
      <c r="D193" s="5" t="s">
        <v>198</v>
      </c>
      <c r="E193" s="5" t="s">
        <v>25</v>
      </c>
      <c r="F193" s="5" t="s">
        <v>42</v>
      </c>
      <c r="G193" s="5"/>
      <c r="H193" s="5"/>
      <c r="I193" s="5" t="s">
        <v>511</v>
      </c>
      <c r="J193" s="5" t="s">
        <v>268</v>
      </c>
      <c r="K193" s="5" t="s">
        <v>269</v>
      </c>
      <c r="L193" s="5">
        <f>_xlfn.XLOOKUP(TB_Kochi[[#This Row],[MIS_Group1]],PL_Consol!B:B,PL_Consol!C:C)</f>
        <v>8</v>
      </c>
      <c r="M193" s="17"/>
      <c r="N193" s="17"/>
      <c r="O193" s="17"/>
      <c r="P193" s="17"/>
      <c r="Q193" s="17"/>
      <c r="R193" s="17">
        <v>-20613</v>
      </c>
      <c r="S193" s="17">
        <v>0</v>
      </c>
      <c r="T193" s="17">
        <v>0</v>
      </c>
      <c r="U193" s="16">
        <v>0</v>
      </c>
      <c r="V193" s="17">
        <v>0</v>
      </c>
      <c r="W193" s="17">
        <v>0</v>
      </c>
      <c r="X193" s="17">
        <v>-1030.6600000000001</v>
      </c>
      <c r="Y193" s="17">
        <f>SUM(TB_Kochi[[#This Row],[Apr]:[Mar]])</f>
        <v>-21643.66</v>
      </c>
      <c r="Z193" s="89">
        <v>-21643.66</v>
      </c>
      <c r="AA193" s="17">
        <v>0</v>
      </c>
      <c r="AB193" s="17">
        <f>IFERROR(_xlfn.XLOOKUP(TB_Kochi[[#This Row],[Description]],[1]trialbalancePDS.rpt!$K$1:$K$65536,[1]trialbalancePDS.rpt!$J$1:$J$65536,0),0)</f>
        <v>0</v>
      </c>
      <c r="AC193" s="17"/>
    </row>
    <row r="194" spans="2:29" x14ac:dyDescent="0.3">
      <c r="B194" s="5" t="s">
        <v>523</v>
      </c>
      <c r="C194" s="5" t="s">
        <v>2</v>
      </c>
      <c r="D194" s="5" t="s">
        <v>198</v>
      </c>
      <c r="E194" s="5" t="s">
        <v>25</v>
      </c>
      <c r="F194" s="5" t="s">
        <v>42</v>
      </c>
      <c r="G194" s="5"/>
      <c r="H194" s="5"/>
      <c r="I194" s="5" t="s">
        <v>511</v>
      </c>
      <c r="J194" s="5" t="s">
        <v>302</v>
      </c>
      <c r="K194" s="5" t="s">
        <v>303</v>
      </c>
      <c r="L194" s="5">
        <f>_xlfn.XLOOKUP(TB_Kochi[[#This Row],[MIS_Group1]],PL_Consol!B:B,PL_Consol!C:C)</f>
        <v>21</v>
      </c>
      <c r="M194" s="17"/>
      <c r="N194" s="17"/>
      <c r="O194" s="17"/>
      <c r="P194" s="17"/>
      <c r="Q194" s="17"/>
      <c r="R194" s="17">
        <v>7011</v>
      </c>
      <c r="S194" s="17">
        <v>1194.1199999999999</v>
      </c>
      <c r="T194" s="17">
        <v>1155.5999999999999</v>
      </c>
      <c r="U194" s="16">
        <v>1194.1199999999999</v>
      </c>
      <c r="V194" s="17">
        <v>1194.1199999999999</v>
      </c>
      <c r="W194" s="17">
        <v>1078.56</v>
      </c>
      <c r="X194" s="17">
        <v>1194.1199999999999</v>
      </c>
      <c r="Y194" s="17">
        <f>SUM(TB_Kochi[[#This Row],[Apr]:[Mar]])</f>
        <v>14021.64</v>
      </c>
      <c r="Z194" s="89">
        <v>14021.64</v>
      </c>
      <c r="AA194" s="17">
        <v>1119.0999999999999</v>
      </c>
      <c r="AB194" s="17">
        <f>IFERROR(_xlfn.XLOOKUP(TB_Kochi[[#This Row],[Description]],[1]trialbalancePDS.rpt!$K$1:$K$65536,[1]trialbalancePDS.rpt!$J$1:$J$65536,0),0)</f>
        <v>1196.28</v>
      </c>
      <c r="AC194" s="17"/>
    </row>
    <row r="195" spans="2:29" x14ac:dyDescent="0.3">
      <c r="B195" s="5" t="s">
        <v>524</v>
      </c>
      <c r="C195" s="5" t="s">
        <v>2</v>
      </c>
      <c r="D195" s="5" t="s">
        <v>198</v>
      </c>
      <c r="E195" s="5" t="s">
        <v>25</v>
      </c>
      <c r="F195" s="5" t="s">
        <v>42</v>
      </c>
      <c r="G195" s="5"/>
      <c r="H195" s="5"/>
      <c r="I195" s="5" t="s">
        <v>511</v>
      </c>
      <c r="J195" s="5" t="s">
        <v>272</v>
      </c>
      <c r="K195" s="5" t="s">
        <v>529</v>
      </c>
      <c r="L195" s="5">
        <f>_xlfn.XLOOKUP(TB_Kochi[[#This Row],[MIS_Group1]],PL_Consol!B:B,PL_Consol!C:C)</f>
        <v>10</v>
      </c>
      <c r="M195" s="17"/>
      <c r="N195" s="17"/>
      <c r="O195" s="17"/>
      <c r="P195" s="17"/>
      <c r="Q195" s="17"/>
      <c r="R195" s="17"/>
      <c r="S195" s="17"/>
      <c r="T195" s="17"/>
      <c r="U195" s="16">
        <v>69120</v>
      </c>
      <c r="V195" s="17">
        <v>0</v>
      </c>
      <c r="W195" s="17">
        <v>0</v>
      </c>
      <c r="X195" s="17">
        <v>0</v>
      </c>
      <c r="Y195" s="17">
        <f>SUM(TB_Kochi[[#This Row],[Apr]:[Mar]])</f>
        <v>69120</v>
      </c>
      <c r="Z195" s="89">
        <v>69120</v>
      </c>
      <c r="AA195" s="17">
        <v>0</v>
      </c>
      <c r="AB195" s="17">
        <f>IFERROR(_xlfn.XLOOKUP(TB_Kochi[[#This Row],[Description]],[1]trialbalancePDS.rpt!$K$1:$K$65536,[1]trialbalancePDS.rpt!$J$1:$J$65536,0),0)</f>
        <v>0</v>
      </c>
      <c r="AC195" s="17"/>
    </row>
    <row r="196" spans="2:29" x14ac:dyDescent="0.3">
      <c r="B196" s="5" t="s">
        <v>249</v>
      </c>
      <c r="C196" s="5" t="s">
        <v>2</v>
      </c>
      <c r="D196" s="5" t="s">
        <v>197</v>
      </c>
      <c r="E196" s="5"/>
      <c r="F196" s="5"/>
      <c r="G196" s="5"/>
      <c r="H196" s="5"/>
      <c r="I196" s="5" t="s">
        <v>511</v>
      </c>
      <c r="J196" s="5" t="s">
        <v>12</v>
      </c>
      <c r="K196" s="5"/>
      <c r="L196" s="5">
        <f>_xlfn.XLOOKUP(TB_Kochi[[#This Row],[MIS_Group1]],PL_Consol!B:B,PL_Consol!C:C)</f>
        <v>7</v>
      </c>
      <c r="M196" s="17"/>
      <c r="N196" s="17"/>
      <c r="O196" s="17">
        <v>-953072</v>
      </c>
      <c r="P196" s="17"/>
      <c r="Q196" s="17"/>
      <c r="R196" s="17"/>
      <c r="S196" s="17"/>
      <c r="T196" s="17"/>
      <c r="U196" s="16">
        <v>0</v>
      </c>
      <c r="V196" s="17">
        <v>0</v>
      </c>
      <c r="W196" s="17">
        <v>0</v>
      </c>
      <c r="X196" s="17">
        <v>0</v>
      </c>
      <c r="Y196" s="17">
        <f>SUM(TB_Kochi[[#This Row],[Apr]:[Mar]])</f>
        <v>-953072</v>
      </c>
      <c r="Z196" s="89">
        <v>-953072</v>
      </c>
      <c r="AA196" s="17">
        <v>0</v>
      </c>
      <c r="AB196" s="17">
        <f>IFERROR(_xlfn.XLOOKUP(TB_Kochi[[#This Row],[Description]],[1]trialbalancePDS.rpt!$K$1:$K$65536,[1]trialbalancePDS.rpt!$J$1:$J$65536,0),0)</f>
        <v>0</v>
      </c>
      <c r="AC196" s="17"/>
    </row>
    <row r="197" spans="2:29" x14ac:dyDescent="0.3">
      <c r="B197" s="5" t="s">
        <v>530</v>
      </c>
      <c r="C197" s="5" t="s">
        <v>2</v>
      </c>
      <c r="D197" s="5" t="s">
        <v>198</v>
      </c>
      <c r="E197" s="5"/>
      <c r="F197" s="5"/>
      <c r="G197" s="5"/>
      <c r="H197" s="5"/>
      <c r="I197" s="5" t="s">
        <v>511</v>
      </c>
      <c r="J197" s="5" t="s">
        <v>301</v>
      </c>
      <c r="K197" s="5"/>
      <c r="L197" s="5">
        <f>_xlfn.XLOOKUP(TB_Kochi[[#This Row],[MIS_Group1]],PL_Consol!B:B,PL_Consol!C:C)</f>
        <v>20</v>
      </c>
      <c r="M197" s="17"/>
      <c r="N197" s="17"/>
      <c r="O197" s="17"/>
      <c r="P197" s="17"/>
      <c r="Q197" s="17"/>
      <c r="R197" s="17"/>
      <c r="S197" s="17"/>
      <c r="T197" s="17"/>
      <c r="U197" s="16">
        <v>0</v>
      </c>
      <c r="V197" s="17">
        <v>73000</v>
      </c>
      <c r="W197" s="17">
        <v>0</v>
      </c>
      <c r="X197" s="17">
        <v>0</v>
      </c>
      <c r="Y197" s="17">
        <f>SUM(TB_Kochi[[#This Row],[Apr]:[Mar]])</f>
        <v>73000</v>
      </c>
      <c r="Z197" s="89">
        <v>73000</v>
      </c>
      <c r="AA197" s="17">
        <v>0</v>
      </c>
      <c r="AB197" s="17">
        <f>IFERROR(_xlfn.XLOOKUP(TB_Kochi[[#This Row],[Description]],[1]trialbalancePDS.rpt!$K$1:$K$65536,[1]trialbalancePDS.rpt!$J$1:$J$65536,0),0)</f>
        <v>0</v>
      </c>
      <c r="AC197" s="17"/>
    </row>
    <row r="198" spans="2:29" x14ac:dyDescent="0.3">
      <c r="B198" s="5" t="s">
        <v>531</v>
      </c>
      <c r="C198" s="5" t="s">
        <v>2</v>
      </c>
      <c r="D198" s="5" t="s">
        <v>198</v>
      </c>
      <c r="E198" s="5"/>
      <c r="F198" s="5"/>
      <c r="G198" s="5"/>
      <c r="H198" s="5"/>
      <c r="I198" s="5" t="s">
        <v>511</v>
      </c>
      <c r="J198" s="5" t="s">
        <v>301</v>
      </c>
      <c r="K198" s="5"/>
      <c r="L198" s="5">
        <f>_xlfn.XLOOKUP(TB_Kochi[[#This Row],[MIS_Group1]],PL_Consol!B:B,PL_Consol!C:C)</f>
        <v>20</v>
      </c>
      <c r="M198" s="17"/>
      <c r="N198" s="17"/>
      <c r="O198" s="17"/>
      <c r="P198" s="17"/>
      <c r="Q198" s="17"/>
      <c r="R198" s="17"/>
      <c r="S198" s="17"/>
      <c r="T198" s="17"/>
      <c r="U198" s="16">
        <v>0</v>
      </c>
      <c r="V198" s="17">
        <v>39100</v>
      </c>
      <c r="W198" s="17">
        <v>0</v>
      </c>
      <c r="X198" s="17">
        <v>242426</v>
      </c>
      <c r="Y198" s="17">
        <f>SUM(TB_Kochi[[#This Row],[Apr]:[Mar]])</f>
        <v>281526</v>
      </c>
      <c r="Z198" s="89">
        <v>281526</v>
      </c>
      <c r="AA198" s="17">
        <v>0</v>
      </c>
      <c r="AB198" s="17">
        <f>IFERROR(_xlfn.XLOOKUP(TB_Kochi[[#This Row],[Description]],[1]trialbalancePDS.rpt!$K$1:$K$65536,[1]trialbalancePDS.rpt!$J$1:$J$65536,0),0)</f>
        <v>0</v>
      </c>
      <c r="AC198" s="17"/>
    </row>
    <row r="199" spans="2:29" x14ac:dyDescent="0.3">
      <c r="B199" s="5" t="s">
        <v>250</v>
      </c>
      <c r="C199" s="5" t="s">
        <v>2</v>
      </c>
      <c r="D199" s="5" t="s">
        <v>198</v>
      </c>
      <c r="E199" s="5"/>
      <c r="F199" s="5"/>
      <c r="G199" s="5"/>
      <c r="H199" s="5"/>
      <c r="I199" s="5" t="s">
        <v>511</v>
      </c>
      <c r="J199" s="5" t="s">
        <v>268</v>
      </c>
      <c r="K199" s="5"/>
      <c r="L199" s="5">
        <f>_xlfn.XLOOKUP(TB_Kochi[[#This Row],[MIS_Group1]],PL_Consol!B:B,PL_Consol!C:C)</f>
        <v>8</v>
      </c>
      <c r="M199" s="17"/>
      <c r="N199" s="17"/>
      <c r="O199" s="17"/>
      <c r="P199" s="17"/>
      <c r="Q199" s="17"/>
      <c r="R199" s="17"/>
      <c r="S199" s="17"/>
      <c r="T199" s="17"/>
      <c r="U199" s="16">
        <v>0</v>
      </c>
      <c r="V199" s="17"/>
      <c r="W199" s="17">
        <v>10304.4</v>
      </c>
      <c r="X199" s="17">
        <v>11760.36</v>
      </c>
      <c r="Y199" s="17">
        <f>SUM(TB_Kochi[[#This Row],[Apr]:[Mar]])</f>
        <v>22064.760000000002</v>
      </c>
      <c r="Z199" s="89">
        <v>22064.76</v>
      </c>
      <c r="AA199" s="17">
        <v>10976</v>
      </c>
      <c r="AB199" s="17">
        <f>IFERROR(_xlfn.XLOOKUP(TB_Kochi[[#This Row],[Description]],[1]trialbalancePDS.rpt!$K$1:$K$65536,[1]trialbalancePDS.rpt!$J$1:$J$65536,0),0)</f>
        <v>16244.72</v>
      </c>
      <c r="AC199" s="17"/>
    </row>
    <row r="200" spans="2:29" x14ac:dyDescent="0.3">
      <c r="B200" s="5" t="s">
        <v>532</v>
      </c>
      <c r="C200" s="5" t="s">
        <v>2</v>
      </c>
      <c r="D200" s="5" t="s">
        <v>198</v>
      </c>
      <c r="E200" s="5"/>
      <c r="F200" s="5"/>
      <c r="G200" s="5"/>
      <c r="H200" s="5"/>
      <c r="I200" s="5" t="s">
        <v>511</v>
      </c>
      <c r="J200" s="5" t="s">
        <v>204</v>
      </c>
      <c r="K200" s="5"/>
      <c r="L200" s="5">
        <f>_xlfn.XLOOKUP(TB_Kochi[[#This Row],[MIS_Group1]],PL_Consol!B:B,PL_Consol!C:C)</f>
        <v>29</v>
      </c>
      <c r="M200" s="17"/>
      <c r="N200" s="17"/>
      <c r="O200" s="17"/>
      <c r="P200" s="17"/>
      <c r="Q200" s="17"/>
      <c r="R200" s="17"/>
      <c r="S200" s="17"/>
      <c r="T200" s="17"/>
      <c r="U200" s="16">
        <v>0</v>
      </c>
      <c r="V200" s="17"/>
      <c r="W200" s="17">
        <v>0</v>
      </c>
      <c r="X200" s="17">
        <v>795970</v>
      </c>
      <c r="Y200" s="17">
        <f>SUM(TB_Kochi[[#This Row],[Apr]:[Mar]])</f>
        <v>795970</v>
      </c>
      <c r="Z200" s="89">
        <v>795970</v>
      </c>
      <c r="AA200" s="17">
        <v>0</v>
      </c>
      <c r="AB200" s="17">
        <f>IFERROR(_xlfn.XLOOKUP(TB_Kochi[[#This Row],[Description]],[1]trialbalancePDS.rpt!$K$1:$K$65536,[1]trialbalancePDS.rpt!$J$1:$J$65536,0),0)</f>
        <v>0</v>
      </c>
      <c r="AC200" s="17"/>
    </row>
    <row r="201" spans="2:29" x14ac:dyDescent="0.3">
      <c r="B201" s="5" t="s">
        <v>255</v>
      </c>
      <c r="C201" s="5" t="s">
        <v>2</v>
      </c>
      <c r="D201" s="5" t="s">
        <v>198</v>
      </c>
      <c r="E201" s="5"/>
      <c r="F201" s="5"/>
      <c r="G201" s="5"/>
      <c r="H201" s="5"/>
      <c r="I201" s="5" t="s">
        <v>511</v>
      </c>
      <c r="J201" s="5" t="s">
        <v>325</v>
      </c>
      <c r="K201" s="5"/>
      <c r="L201" s="5">
        <f>_xlfn.XLOOKUP(TB_Kochi[[#This Row],[MIS_Group1]],PL_Consol!B:B,PL_Consol!C:C)</f>
        <v>25</v>
      </c>
      <c r="M201" s="17"/>
      <c r="N201" s="17"/>
      <c r="O201" s="17"/>
      <c r="P201" s="17"/>
      <c r="Q201" s="17"/>
      <c r="R201" s="17"/>
      <c r="S201" s="17"/>
      <c r="T201" s="17"/>
      <c r="U201" s="16">
        <v>0</v>
      </c>
      <c r="V201" s="17"/>
      <c r="W201" s="17">
        <v>410</v>
      </c>
      <c r="X201" s="17">
        <v>0</v>
      </c>
      <c r="Y201" s="17">
        <f>SUM(TB_Kochi[[#This Row],[Apr]:[Mar]])</f>
        <v>410</v>
      </c>
      <c r="Z201" s="89">
        <v>410</v>
      </c>
      <c r="AA201" s="17">
        <v>0</v>
      </c>
      <c r="AB201" s="17">
        <f>IFERROR(_xlfn.XLOOKUP(TB_Kochi[[#This Row],[Description]],[1]trialbalancePDS.rpt!$K$1:$K$65536,[1]trialbalancePDS.rpt!$J$1:$J$65536,0),0)</f>
        <v>0</v>
      </c>
      <c r="AC201" s="17"/>
    </row>
    <row r="202" spans="2:29" x14ac:dyDescent="0.3">
      <c r="B202" s="5" t="s">
        <v>646</v>
      </c>
      <c r="C202" s="165"/>
      <c r="D202" s="5" t="s">
        <v>197</v>
      </c>
      <c r="E202" s="5" t="s">
        <v>12</v>
      </c>
      <c r="F202" s="165" t="s">
        <v>647</v>
      </c>
      <c r="G202" s="165"/>
      <c r="H202" s="165"/>
      <c r="I202" s="5" t="s">
        <v>511</v>
      </c>
      <c r="J202" s="5" t="s">
        <v>12</v>
      </c>
      <c r="K202" s="5"/>
      <c r="L202" s="165">
        <f>_xlfn.XLOOKUP(TB_Kochi[[#This Row],[MIS_Group1]],PL_Consol!B:B,PL_Consol!C:C)</f>
        <v>7</v>
      </c>
      <c r="M202" s="17"/>
      <c r="N202" s="17"/>
      <c r="O202" s="17"/>
      <c r="P202" s="17"/>
      <c r="Q202" s="17"/>
      <c r="R202" s="17"/>
      <c r="S202" s="17"/>
      <c r="T202" s="17"/>
      <c r="U202" s="16"/>
      <c r="V202" s="17"/>
      <c r="W202" s="17"/>
      <c r="X202" s="17"/>
      <c r="Y202" s="17">
        <f>SUM(TB_Kochi[[#This Row],[Apr]:[Mar]])</f>
        <v>0</v>
      </c>
      <c r="Z202" s="89"/>
      <c r="AA202" s="17"/>
      <c r="AB202" s="17">
        <f>IFERROR(_xlfn.XLOOKUP(TB_Kochi[[#This Row],[Description]],[1]trialbalancePDS.rpt!$K$1:$K$65536,[1]trialbalancePDS.rpt!$J$1:$J$65536,0),0)</f>
        <v>-67797</v>
      </c>
      <c r="AC202" s="17"/>
    </row>
    <row r="203" spans="2:29" x14ac:dyDescent="0.3">
      <c r="B203" s="5" t="s">
        <v>618</v>
      </c>
      <c r="C203" s="5" t="s">
        <v>617</v>
      </c>
      <c r="D203" s="5" t="s">
        <v>198</v>
      </c>
      <c r="E203" s="5"/>
      <c r="F203" s="5"/>
      <c r="G203" s="5"/>
      <c r="H203" s="5"/>
      <c r="I203" s="5" t="s">
        <v>511</v>
      </c>
      <c r="J203" s="5" t="s">
        <v>288</v>
      </c>
      <c r="K203" s="5"/>
      <c r="L203" s="5">
        <f>_xlfn.XLOOKUP(TB_Kochi[[#This Row],[MIS_Group1]],PL_Consol!B:B,PL_Consol!C:C)</f>
        <v>15</v>
      </c>
      <c r="M203" s="17">
        <v>-137817</v>
      </c>
      <c r="N203" s="17">
        <v>-137817</v>
      </c>
      <c r="O203" s="17">
        <v>-137817</v>
      </c>
      <c r="P203" s="17">
        <v>-137817</v>
      </c>
      <c r="Q203" s="17">
        <v>-137817</v>
      </c>
      <c r="R203" s="17">
        <v>-137817</v>
      </c>
      <c r="S203" s="17">
        <v>-148266.54</v>
      </c>
      <c r="T203" s="17">
        <v>-157409.63999999998</v>
      </c>
      <c r="U203" s="17">
        <v>-157409.63999999998</v>
      </c>
      <c r="V203" s="17">
        <v>-157409.63999999998</v>
      </c>
      <c r="W203" s="17">
        <v>-157409.63999999998</v>
      </c>
      <c r="X203" s="17">
        <v>-157409.63999999998</v>
      </c>
      <c r="Y203" s="17">
        <f>SUM(TB_Kochi[[#This Row],[Apr]:[Mar]])</f>
        <v>-1762216.7399999995</v>
      </c>
      <c r="Z203" s="89"/>
      <c r="AA203" s="17">
        <v>-157409.63999999998</v>
      </c>
      <c r="AB203" s="17">
        <v>-157409.63999999998</v>
      </c>
      <c r="AC203" s="17"/>
    </row>
    <row r="204" spans="2:29" x14ac:dyDescent="0.3">
      <c r="B204" s="5" t="s">
        <v>620</v>
      </c>
      <c r="C204" s="5" t="s">
        <v>617</v>
      </c>
      <c r="D204" s="5" t="s">
        <v>198</v>
      </c>
      <c r="E204" s="5"/>
      <c r="F204" s="5"/>
      <c r="G204" s="5"/>
      <c r="H204" s="5"/>
      <c r="I204" s="5" t="s">
        <v>511</v>
      </c>
      <c r="J204" s="5" t="s">
        <v>278</v>
      </c>
      <c r="K204" s="5"/>
      <c r="L204" s="5">
        <f>_xlfn.XLOOKUP(TB_Kochi[[#This Row],[MIS_Group1]],PL_Consol!B:B,PL_Consol!C:C)</f>
        <v>11</v>
      </c>
      <c r="M204" s="17">
        <v>-660504.46530000016</v>
      </c>
      <c r="N204" s="17">
        <v>-682521.28081000014</v>
      </c>
      <c r="O204" s="17">
        <v>-660504.46530000016</v>
      </c>
      <c r="P204" s="17">
        <v>-682521.28081000014</v>
      </c>
      <c r="Q204" s="17">
        <v>-682521.28081000014</v>
      </c>
      <c r="R204" s="17">
        <v>-660504.46530000016</v>
      </c>
      <c r="S204" s="17">
        <v>-682521.28081000014</v>
      </c>
      <c r="T204" s="17">
        <v>-660504.46530000016</v>
      </c>
      <c r="U204" s="17">
        <v>-682521.28081000014</v>
      </c>
      <c r="V204" s="17">
        <v>-682521.28081000014</v>
      </c>
      <c r="W204" s="17">
        <v>-616470.83428000007</v>
      </c>
      <c r="X204" s="17">
        <v>-682521.28081000014</v>
      </c>
      <c r="Y204" s="17">
        <f>SUM(TB_Kochi[[#This Row],[Apr]:[Mar]])</f>
        <v>-8036137.6611500029</v>
      </c>
      <c r="Z204" s="89"/>
      <c r="AA204" s="17">
        <v>-682521.28081000014</v>
      </c>
      <c r="AB204" s="17">
        <v>-682521.28081000014</v>
      </c>
      <c r="AC204" s="17"/>
    </row>
    <row r="205" spans="2:29" x14ac:dyDescent="0.3">
      <c r="B205" s="5" t="s">
        <v>622</v>
      </c>
      <c r="C205" s="5" t="s">
        <v>617</v>
      </c>
      <c r="D205" s="5" t="s">
        <v>198</v>
      </c>
      <c r="E205" s="5"/>
      <c r="F205" s="5"/>
      <c r="G205" s="5"/>
      <c r="H205" s="5"/>
      <c r="I205" s="5" t="s">
        <v>511</v>
      </c>
      <c r="J205" s="5" t="s">
        <v>278</v>
      </c>
      <c r="K205" s="5"/>
      <c r="L205" s="5">
        <f>_xlfn.XLOOKUP(TB_Kochi[[#This Row],[MIS_Group1]],PL_Consol!B:B,PL_Consol!C:C)</f>
        <v>11</v>
      </c>
      <c r="M205" s="17">
        <v>-20414.61</v>
      </c>
      <c r="N205" s="17">
        <v>-21095.096999999998</v>
      </c>
      <c r="O205" s="17">
        <v>-20414.61</v>
      </c>
      <c r="P205" s="17">
        <v>-21095.096999999998</v>
      </c>
      <c r="Q205" s="17">
        <v>-21095.096999999998</v>
      </c>
      <c r="R205" s="17">
        <v>-20414.61</v>
      </c>
      <c r="S205" s="17">
        <v>-21095.096999999998</v>
      </c>
      <c r="T205" s="17">
        <v>-20414.61</v>
      </c>
      <c r="U205" s="17">
        <v>-21095.096999999998</v>
      </c>
      <c r="V205" s="17">
        <v>-21095.096999999998</v>
      </c>
      <c r="W205" s="17">
        <v>-19053.635999999999</v>
      </c>
      <c r="X205" s="17">
        <v>-21095.096999999998</v>
      </c>
      <c r="Y205" s="17">
        <f>SUM(TB_Kochi[[#This Row],[Apr]:[Mar]])</f>
        <v>-248377.755</v>
      </c>
      <c r="Z205" s="89"/>
      <c r="AA205" s="17">
        <v>0</v>
      </c>
      <c r="AB205" s="70">
        <f>IFERROR(_xlfn.XLOOKUP(TB_Kochi[[#This Row],[Description]],[2]trialbalancePDS.rpt!$J$1:$J$65536,[2]trialbalancePDS.rpt!$I$1:$I$65536,0),0)</f>
        <v>0</v>
      </c>
      <c r="AC205" s="17"/>
    </row>
    <row r="206" spans="2:29" x14ac:dyDescent="0.3">
      <c r="B206" s="69" t="s">
        <v>625</v>
      </c>
      <c r="C206" s="69" t="s">
        <v>570</v>
      </c>
      <c r="D206" s="69"/>
      <c r="E206" s="69"/>
      <c r="F206" s="69"/>
      <c r="G206" s="69"/>
      <c r="H206" s="69"/>
      <c r="I206" s="69" t="s">
        <v>511</v>
      </c>
      <c r="J206" s="69" t="s">
        <v>503</v>
      </c>
      <c r="K206" s="69"/>
      <c r="L206" s="69">
        <f>_xlfn.XLOOKUP(TB_Kochi[[#This Row],[MIS_Group1]],PL_Consol!B:B,PL_Consol!C:C)</f>
        <v>27</v>
      </c>
      <c r="M206" s="70">
        <v>762333.33333333337</v>
      </c>
      <c r="N206" s="70">
        <v>762333.33333333337</v>
      </c>
      <c r="O206" s="70">
        <v>762333.33333333337</v>
      </c>
      <c r="P206" s="70">
        <v>762333.33333333337</v>
      </c>
      <c r="Q206" s="70">
        <v>762333.33333333337</v>
      </c>
      <c r="R206" s="70">
        <v>762333.33333333337</v>
      </c>
      <c r="S206" s="70">
        <v>762333.33333333337</v>
      </c>
      <c r="T206" s="70">
        <v>762333.33333333337</v>
      </c>
      <c r="U206" s="70">
        <v>762333.33333333337</v>
      </c>
      <c r="V206" s="70">
        <v>762333.33333333337</v>
      </c>
      <c r="W206" s="70">
        <v>762333.33333333337</v>
      </c>
      <c r="X206" s="70">
        <v>762333.33333333337</v>
      </c>
      <c r="Y206" s="70">
        <f>SUM(TB_Kochi[[#This Row],[Apr]:[Mar]])</f>
        <v>9147999.9999999981</v>
      </c>
      <c r="Z206" s="116"/>
      <c r="AA206" s="70">
        <v>1500000</v>
      </c>
      <c r="AB206" s="70">
        <v>1500000</v>
      </c>
      <c r="AC206" s="70"/>
    </row>
    <row r="207" spans="2:29" x14ac:dyDescent="0.3">
      <c r="B207" s="69" t="s">
        <v>623</v>
      </c>
      <c r="C207" s="69" t="s">
        <v>570</v>
      </c>
      <c r="D207" s="5"/>
      <c r="E207" s="5"/>
      <c r="F207" s="69"/>
      <c r="G207" s="69"/>
      <c r="H207" s="69"/>
      <c r="I207" s="69" t="s">
        <v>511</v>
      </c>
      <c r="J207" s="69" t="s">
        <v>272</v>
      </c>
      <c r="K207" s="69"/>
      <c r="L207" s="69">
        <f>_xlfn.XLOOKUP(TB_Kochi[[#This Row],[MIS_Group1]],PL_Consol!B:B,PL_Consol!C:C)</f>
        <v>10</v>
      </c>
      <c r="M207" s="70">
        <v>1009440.8207335887</v>
      </c>
      <c r="N207" s="70">
        <v>1009440.8207335887</v>
      </c>
      <c r="O207" s="70">
        <v>1009440.8207335887</v>
      </c>
      <c r="P207" s="70">
        <v>1009440.8207335887</v>
      </c>
      <c r="Q207" s="70">
        <v>1009440.8207335887</v>
      </c>
      <c r="R207" s="70">
        <v>1009440.8207335887</v>
      </c>
      <c r="S207" s="70">
        <v>1009440.8207335887</v>
      </c>
      <c r="T207" s="70">
        <v>1009440.8207335887</v>
      </c>
      <c r="U207" s="70">
        <v>1009440.8207335887</v>
      </c>
      <c r="V207" s="70">
        <v>1009440.8207335887</v>
      </c>
      <c r="W207" s="70">
        <v>1009440.8207335887</v>
      </c>
      <c r="X207" s="70">
        <v>1009440.8207335887</v>
      </c>
      <c r="Y207" s="70">
        <f>SUM(TB_Kochi[[#This Row],[Apr]:[Mar]])</f>
        <v>12113289.84880306</v>
      </c>
      <c r="Z207" s="116"/>
      <c r="AA207" s="70">
        <v>1009440.8207335887</v>
      </c>
      <c r="AB207" s="70">
        <v>1009440.8207335887</v>
      </c>
      <c r="AC207" s="70"/>
    </row>
    <row r="208" spans="2:29" x14ac:dyDescent="0.3">
      <c r="B208" s="69" t="s">
        <v>509</v>
      </c>
      <c r="C208" s="69" t="s">
        <v>570</v>
      </c>
      <c r="D208" s="69"/>
      <c r="E208" s="69"/>
      <c r="F208" s="69"/>
      <c r="G208" s="69"/>
      <c r="H208" s="69"/>
      <c r="I208" s="69" t="s">
        <v>511</v>
      </c>
      <c r="J208" s="69" t="s">
        <v>268</v>
      </c>
      <c r="K208" s="69" t="s">
        <v>509</v>
      </c>
      <c r="L208" s="69">
        <f>_xlfn.XLOOKUP(TB_Kochi[[#This Row],[MIS_Group1]],PL_Consol!B:B,PL_Consol!C:C)</f>
        <v>8</v>
      </c>
      <c r="M208" s="70">
        <v>83632197.215251237</v>
      </c>
      <c r="N208" s="70">
        <v>99469312.155564904</v>
      </c>
      <c r="O208" s="70">
        <v>105903539.026535</v>
      </c>
      <c r="P208" s="70">
        <v>106361531.10250001</v>
      </c>
      <c r="Q208" s="70">
        <v>104418838.21799999</v>
      </c>
      <c r="R208" s="70">
        <v>104841872.962</v>
      </c>
      <c r="S208" s="70">
        <v>102146646.714</v>
      </c>
      <c r="T208" s="70">
        <v>101792690.383</v>
      </c>
      <c r="U208" s="70">
        <v>95839613.400000006</v>
      </c>
      <c r="V208" s="70">
        <v>96728656.755999997</v>
      </c>
      <c r="W208" s="70">
        <v>100663601.287</v>
      </c>
      <c r="X208" s="70">
        <v>97565031.111000001</v>
      </c>
      <c r="Y208" s="70">
        <v>83632197.215251237</v>
      </c>
      <c r="Z208" s="89">
        <v>0</v>
      </c>
      <c r="AA208" s="70">
        <v>99971077.060000002</v>
      </c>
      <c r="AB208" s="70">
        <v>99807032.421000004</v>
      </c>
      <c r="AC208" s="70"/>
    </row>
    <row r="209" spans="2:29" x14ac:dyDescent="0.3">
      <c r="B209" s="69" t="s">
        <v>510</v>
      </c>
      <c r="C209" s="69" t="s">
        <v>570</v>
      </c>
      <c r="D209" s="69"/>
      <c r="E209" s="69"/>
      <c r="F209" s="69"/>
      <c r="G209" s="69"/>
      <c r="H209" s="69"/>
      <c r="I209" s="69" t="s">
        <v>511</v>
      </c>
      <c r="J209" s="69" t="s">
        <v>268</v>
      </c>
      <c r="K209" s="69" t="s">
        <v>510</v>
      </c>
      <c r="L209" s="69">
        <f>_xlfn.XLOOKUP(TB_Kochi[[#This Row],[MIS_Group1]],PL_Consol!B:B,PL_Consol!C:C)</f>
        <v>8</v>
      </c>
      <c r="M209" s="70">
        <v>-99469312.155564904</v>
      </c>
      <c r="N209" s="70">
        <v>-105903539.026535</v>
      </c>
      <c r="O209" s="70">
        <v>-106361531.10250001</v>
      </c>
      <c r="P209" s="70">
        <v>-104418838.21799999</v>
      </c>
      <c r="Q209" s="70">
        <v>-104841872.962</v>
      </c>
      <c r="R209" s="70">
        <v>-102146646.714</v>
      </c>
      <c r="S209" s="70">
        <v>-101792690.383</v>
      </c>
      <c r="T209" s="70">
        <v>-95839613.400000006</v>
      </c>
      <c r="U209" s="70">
        <v>-96728656.755999997</v>
      </c>
      <c r="V209" s="70">
        <v>-100663601.287</v>
      </c>
      <c r="W209" s="70">
        <v>-97565031.111000001</v>
      </c>
      <c r="X209" s="70">
        <v>-99971077.060000002</v>
      </c>
      <c r="Y209" s="70">
        <v>-99971077.060000002</v>
      </c>
      <c r="Z209" s="89">
        <v>0</v>
      </c>
      <c r="AA209" s="70">
        <v>-99807032.421000004</v>
      </c>
      <c r="AB209" s="70">
        <v>-101401402.714</v>
      </c>
      <c r="AC209" s="70"/>
    </row>
    <row r="210" spans="2:29" x14ac:dyDescent="0.3"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>
        <f>SUM(TB_Kochi[[#This Row],[Apr]:[Mar]])</f>
        <v>0</v>
      </c>
      <c r="Z210" s="166"/>
      <c r="AA210" s="71"/>
      <c r="AB210" s="17">
        <f>IFERROR(_xlfn.XLOOKUP(TB_Kochi[[#This Row],[Description]],[2]trialbalancePDS.rpt!$J$1:$J$65536,[2]trialbalancePDS.rpt!$I$1:$I$65536,0),0)</f>
        <v>0</v>
      </c>
      <c r="AC210" s="71"/>
    </row>
    <row r="211" spans="2:29" x14ac:dyDescent="0.3"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9">
        <f>SUBTOTAL(109,TB_Kochi[Apr])</f>
        <v>-90938662.261546686</v>
      </c>
      <c r="N211" s="9">
        <f>SUBTOTAL(109,TB_Kochi[May])</f>
        <v>-88527241.164713204</v>
      </c>
      <c r="O211" s="9">
        <f>SUBTOTAL(109,TB_Kochi[Jun])</f>
        <v>-51628248.79719808</v>
      </c>
      <c r="P211" s="9">
        <f>SUBTOTAL(109,TB_Kochi[Jul])</f>
        <v>-83396005.199243113</v>
      </c>
      <c r="Q211" s="9">
        <f>SUBTOTAL(109,TB_Kochi[Aug])</f>
        <v>-100086232.60774305</v>
      </c>
      <c r="R211" s="9">
        <f>SUBTOTAL(109,TB_Kochi[Sep])</f>
        <v>-88716990.913233027</v>
      </c>
      <c r="S211" s="9">
        <f>SUBTOTAL(109,TB_Kochi[Oct])</f>
        <v>-82365454.522743091</v>
      </c>
      <c r="T211" s="9">
        <f>SUBTOTAL(109,TB_Kochi[Nov])</f>
        <v>-70098708.308233082</v>
      </c>
      <c r="U211" s="9">
        <f>SUBTOTAL(109,TB_Kochi[Dec])</f>
        <v>-74834291.219742998</v>
      </c>
      <c r="V211" s="9">
        <f>SUBTOTAL(109,TB_Kochi[Jan])</f>
        <v>-127507028.50474307</v>
      </c>
      <c r="W211" s="9">
        <f>SUBTOTAL(109,TB_Kochi[Feb])</f>
        <v>-88631119.030213147</v>
      </c>
      <c r="X211" s="9">
        <f>SUBTOTAL(109,TB_Kochi[Mar])</f>
        <v>-82085828.442742974</v>
      </c>
      <c r="Y211" s="9">
        <f>SUBTOTAL(109,TB_Kochi[YTD])</f>
        <v>-1028815810.972095</v>
      </c>
      <c r="Z211" s="111"/>
      <c r="AA211" s="9">
        <f>SUBTOTAL(109,TB_Kochi[Apr_26])</f>
        <v>-113568397.57107647</v>
      </c>
      <c r="AB211" s="9">
        <f>SUBTOTAL(109,TB_Kochi[May-26])</f>
        <v>-98262689.463076472</v>
      </c>
      <c r="AC211" s="7"/>
    </row>
    <row r="213" spans="2:29" x14ac:dyDescent="0.3"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4"/>
      <c r="Z213" s="24"/>
      <c r="AA213" s="24"/>
      <c r="AB213" s="24"/>
    </row>
    <row r="214" spans="2:29" x14ac:dyDescent="0.3">
      <c r="O214" s="24"/>
      <c r="W214" s="14"/>
      <c r="X214" s="14"/>
      <c r="Y214" s="24">
        <f>TB_Kochi[[#Totals],[YTD]]/12</f>
        <v>-85734650.914341256</v>
      </c>
    </row>
    <row r="215" spans="2:29" x14ac:dyDescent="0.3">
      <c r="N215" s="2"/>
      <c r="O215" s="24"/>
      <c r="R215" s="24"/>
      <c r="S215" s="24"/>
      <c r="T215" s="24"/>
      <c r="U215" s="24"/>
      <c r="V215" s="24">
        <f>21220498.49+26383396</f>
        <v>47603894.489999995</v>
      </c>
      <c r="W215" s="14" t="s">
        <v>648</v>
      </c>
      <c r="X215" s="14"/>
    </row>
    <row r="216" spans="2:29" x14ac:dyDescent="0.3">
      <c r="V216" s="24">
        <f>V215-21220498.49</f>
        <v>26383395.999999996</v>
      </c>
      <c r="W216" s="1" t="s">
        <v>208</v>
      </c>
    </row>
    <row r="218" spans="2:29" x14ac:dyDescent="0.3">
      <c r="B218" s="42"/>
    </row>
    <row r="219" spans="2:29" x14ac:dyDescent="0.3">
      <c r="B219" s="43"/>
    </row>
    <row r="222" spans="2:29" x14ac:dyDescent="0.3">
      <c r="F222" s="1">
        <f>450856+17484</f>
        <v>468340</v>
      </c>
    </row>
  </sheetData>
  <phoneticPr fontId="7" type="noConversion"/>
  <conditionalFormatting sqref="B3:B195">
    <cfRule type="duplicateValues" dxfId="153" priority="872"/>
  </conditionalFormatting>
  <conditionalFormatting sqref="B207:B209">
    <cfRule type="duplicateValues" dxfId="152" priority="1"/>
  </conditionalFormatting>
  <conditionalFormatting sqref="B211:B1048576 B1:B162">
    <cfRule type="duplicateValues" dxfId="151" priority="66"/>
  </conditionalFormatting>
  <conditionalFormatting sqref="B211:B1048576 B1:B164">
    <cfRule type="duplicateValues" dxfId="150" priority="4"/>
  </conditionalFormatting>
  <conditionalFormatting sqref="B212:B1048576 B1">
    <cfRule type="duplicateValues" dxfId="149" priority="57"/>
    <cfRule type="duplicateValues" dxfId="148" priority="58"/>
    <cfRule type="duplicateValues" dxfId="147" priority="59"/>
  </conditionalFormatting>
  <conditionalFormatting sqref="K177:L177">
    <cfRule type="duplicateValues" dxfId="146" priority="2"/>
  </conditionalFormatting>
  <hyperlinks>
    <hyperlink ref="D2" r:id="rId1" display="FS@" xr:uid="{E1B88F0F-1DB5-47B2-B3A9-1D20782CECD2}"/>
  </hyperlinks>
  <pageMargins left="0.49993750781152352" right="0.24996875390576176" top="0.24996875390576176" bottom="0.24996875390576176" header="1.1126239318905074E-308" footer="0.24996875390576176"/>
  <pageSetup paperSize="9" orientation="portrait" errors="NA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1C3D-4E59-49C7-9A48-C895B16AEF74}">
  <sheetPr>
    <tabColor theme="7" tint="0.79998168889431442"/>
  </sheetPr>
  <dimension ref="A1:A6"/>
  <sheetViews>
    <sheetView workbookViewId="0">
      <selection activeCell="J30" sqref="J30"/>
    </sheetView>
  </sheetViews>
  <sheetFormatPr defaultRowHeight="13" x14ac:dyDescent="0.3"/>
  <sheetData>
    <row r="1" spans="1:1" x14ac:dyDescent="0.3">
      <c r="A1">
        <f>41047+23198-541</f>
        <v>63704</v>
      </c>
    </row>
    <row r="2" spans="1:1" x14ac:dyDescent="0.3">
      <c r="A2">
        <f>37405+16861-541</f>
        <v>53725</v>
      </c>
    </row>
    <row r="3" spans="1:1" x14ac:dyDescent="0.3">
      <c r="A3">
        <f>42505-2280-7171</f>
        <v>33054</v>
      </c>
    </row>
    <row r="4" spans="1:1" x14ac:dyDescent="0.3">
      <c r="A4">
        <f>34738-1684</f>
        <v>33054</v>
      </c>
    </row>
    <row r="5" spans="1:1" x14ac:dyDescent="0.3">
      <c r="A5">
        <f>222581-1041+69000</f>
        <v>290540</v>
      </c>
    </row>
    <row r="6" spans="1:1" x14ac:dyDescent="0.3">
      <c r="A6">
        <f>122763-2841+114066+762764</f>
        <v>996752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0C78-7A31-4091-85B0-D195B3FE964D}">
  <sheetPr>
    <tabColor theme="7" tint="0.79998168889431442"/>
  </sheetPr>
  <dimension ref="B1:AF75"/>
  <sheetViews>
    <sheetView topLeftCell="R2" workbookViewId="0">
      <selection activeCell="AB2" sqref="AB2"/>
    </sheetView>
  </sheetViews>
  <sheetFormatPr defaultColWidth="9.08984375" defaultRowHeight="13" x14ac:dyDescent="0.3"/>
  <cols>
    <col min="1" max="1" width="3" style="1" customWidth="1"/>
    <col min="2" max="2" width="33.6328125" style="1" customWidth="1"/>
    <col min="3" max="3" width="5.36328125" style="1" bestFit="1" customWidth="1"/>
    <col min="4" max="4" width="6" style="1" bestFit="1" customWidth="1"/>
    <col min="5" max="5" width="22.90625" style="1" customWidth="1"/>
    <col min="6" max="6" width="24.36328125" style="1" customWidth="1"/>
    <col min="7" max="7" width="21.453125" style="1" customWidth="1"/>
    <col min="8" max="8" width="32" style="1" customWidth="1"/>
    <col min="9" max="9" width="6.54296875" style="1" bestFit="1" customWidth="1"/>
    <col min="10" max="10" width="32" style="1" customWidth="1"/>
    <col min="11" max="11" width="31.90625" style="1" bestFit="1" customWidth="1"/>
    <col min="12" max="12" width="7.90625" style="1" bestFit="1" customWidth="1"/>
    <col min="13" max="13" width="16.6328125" style="2" bestFit="1" customWidth="1"/>
    <col min="14" max="15" width="16.6328125" style="1" bestFit="1" customWidth="1"/>
    <col min="16" max="17" width="16.6328125" style="14" bestFit="1" customWidth="1"/>
    <col min="18" max="21" width="16.6328125" style="1" bestFit="1" customWidth="1"/>
    <col min="22" max="22" width="15.36328125" style="1" bestFit="1" customWidth="1"/>
    <col min="23" max="23" width="13.81640625" style="1" bestFit="1" customWidth="1"/>
    <col min="24" max="24" width="13.6328125" style="1" bestFit="1" customWidth="1"/>
    <col min="25" max="25" width="14.36328125" style="1" bestFit="1" customWidth="1"/>
    <col min="26" max="26" width="14.36328125" bestFit="1" customWidth="1"/>
    <col min="27" max="27" width="14.36328125" style="1" bestFit="1" customWidth="1"/>
    <col min="28" max="28" width="14.36328125" style="1" customWidth="1"/>
    <col min="29" max="29" width="12.81640625" style="1" bestFit="1" customWidth="1"/>
    <col min="30" max="263" width="11.453125" style="1" customWidth="1"/>
    <col min="264" max="16384" width="9.08984375" style="1"/>
  </cols>
  <sheetData>
    <row r="1" spans="2:29" ht="14.5" x14ac:dyDescent="0.35">
      <c r="B1" s="8" t="s">
        <v>514</v>
      </c>
      <c r="Z1" s="1"/>
    </row>
    <row r="2" spans="2:29" x14ac:dyDescent="0.3">
      <c r="B2" s="3" t="s">
        <v>0</v>
      </c>
      <c r="C2" s="4" t="s">
        <v>1</v>
      </c>
      <c r="D2" s="4" t="s">
        <v>196</v>
      </c>
      <c r="E2" s="4" t="s">
        <v>224</v>
      </c>
      <c r="F2" s="4" t="s">
        <v>225</v>
      </c>
      <c r="G2" s="11" t="s">
        <v>228</v>
      </c>
      <c r="H2" s="11" t="s">
        <v>233</v>
      </c>
      <c r="I2" s="11" t="s">
        <v>537</v>
      </c>
      <c r="J2" s="11" t="s">
        <v>260</v>
      </c>
      <c r="K2" s="11" t="s">
        <v>259</v>
      </c>
      <c r="L2" s="11" t="s">
        <v>539</v>
      </c>
      <c r="M2" s="10" t="s">
        <v>199</v>
      </c>
      <c r="N2" s="4" t="s">
        <v>208</v>
      </c>
      <c r="O2" s="4" t="s">
        <v>209</v>
      </c>
      <c r="P2" s="15" t="s">
        <v>210</v>
      </c>
      <c r="Q2" s="15" t="s">
        <v>211</v>
      </c>
      <c r="R2" s="4" t="s">
        <v>212</v>
      </c>
      <c r="S2" s="4" t="s">
        <v>213</v>
      </c>
      <c r="T2" s="4" t="s">
        <v>214</v>
      </c>
      <c r="U2" s="4" t="s">
        <v>215</v>
      </c>
      <c r="V2" s="4" t="s">
        <v>216</v>
      </c>
      <c r="W2" s="4" t="s">
        <v>217</v>
      </c>
      <c r="X2" s="4" t="s">
        <v>218</v>
      </c>
      <c r="Y2" s="54" t="s">
        <v>219</v>
      </c>
      <c r="Z2" s="88" t="s">
        <v>611</v>
      </c>
      <c r="AA2" s="10" t="s">
        <v>637</v>
      </c>
      <c r="AB2" s="167" t="s">
        <v>645</v>
      </c>
      <c r="AC2" s="49" t="s">
        <v>471</v>
      </c>
    </row>
    <row r="3" spans="2:29" x14ac:dyDescent="0.3">
      <c r="B3" s="5" t="s">
        <v>5</v>
      </c>
      <c r="C3" s="5" t="s">
        <v>2</v>
      </c>
      <c r="D3" s="5" t="s">
        <v>197</v>
      </c>
      <c r="E3" s="5" t="s">
        <v>3</v>
      </c>
      <c r="F3" s="5" t="s">
        <v>226</v>
      </c>
      <c r="G3" s="5" t="s">
        <v>229</v>
      </c>
      <c r="H3" s="5" t="s">
        <v>4</v>
      </c>
      <c r="I3" s="5" t="s">
        <v>512</v>
      </c>
      <c r="J3" s="5" t="s">
        <v>201</v>
      </c>
      <c r="K3" s="5" t="s">
        <v>201</v>
      </c>
      <c r="L3" s="5">
        <f>_xlfn.XLOOKUP(TB_Calicut[[#This Row],[MIS_Group1]],PL_Consol!B:B,PL_Consol!C:C)</f>
        <v>4</v>
      </c>
      <c r="M3" s="17">
        <v>-1232.31</v>
      </c>
      <c r="N3" s="17">
        <v>-624.1</v>
      </c>
      <c r="O3" s="17">
        <v>-464.46</v>
      </c>
      <c r="P3" s="17">
        <v>-1228.75</v>
      </c>
      <c r="Q3" s="17">
        <v>-890</v>
      </c>
      <c r="R3" s="17">
        <v>-606.36</v>
      </c>
      <c r="S3" s="17">
        <v>-270</v>
      </c>
      <c r="T3" s="17">
        <v>0</v>
      </c>
      <c r="U3" s="17">
        <v>-338906</v>
      </c>
      <c r="V3" s="17">
        <v>-450</v>
      </c>
      <c r="W3" s="17">
        <v>-339626</v>
      </c>
      <c r="X3" s="17">
        <v>-720</v>
      </c>
      <c r="Y3" s="83">
        <f>SUM(TB_Calicut[[#This Row],[Apr]:[Mar]])</f>
        <v>-685017.98</v>
      </c>
      <c r="Z3" s="89">
        <v>-685017.98</v>
      </c>
      <c r="AA3" s="47">
        <v>-90</v>
      </c>
      <c r="AB3" s="47">
        <f>IFERROR(_xlfn.XLOOKUP(TB_Calicut[[#This Row],[Description]],[3]trialbalancePDS.rpt!$J$1:$J$65536,[3]trialbalancePDS.rpt!$I$1:$I$65536,0),0)</f>
        <v>-154.43</v>
      </c>
      <c r="AC3" s="47"/>
    </row>
    <row r="4" spans="2:29" x14ac:dyDescent="0.3">
      <c r="B4" s="5" t="s">
        <v>6</v>
      </c>
      <c r="C4" s="5" t="s">
        <v>2</v>
      </c>
      <c r="D4" s="5" t="s">
        <v>197</v>
      </c>
      <c r="E4" s="5" t="s">
        <v>3</v>
      </c>
      <c r="F4" s="5" t="s">
        <v>226</v>
      </c>
      <c r="G4" s="5" t="s">
        <v>229</v>
      </c>
      <c r="H4" s="5" t="s">
        <v>4</v>
      </c>
      <c r="I4" s="5" t="s">
        <v>512</v>
      </c>
      <c r="J4" s="5" t="s">
        <v>201</v>
      </c>
      <c r="K4" s="5" t="s">
        <v>201</v>
      </c>
      <c r="L4" s="5">
        <f>_xlfn.XLOOKUP(TB_Calicut[[#This Row],[MIS_Group1]],PL_Consol!B:B,PL_Consol!C:C)</f>
        <v>4</v>
      </c>
      <c r="M4" s="17">
        <v>-1638623.86</v>
      </c>
      <c r="N4" s="17">
        <v>-1416903.74</v>
      </c>
      <c r="O4" s="17">
        <v>-1499415.3399999999</v>
      </c>
      <c r="P4" s="17">
        <v>-1807692.04</v>
      </c>
      <c r="Q4" s="17">
        <v>-1671022.11</v>
      </c>
      <c r="R4" s="17">
        <v>-1941727.31</v>
      </c>
      <c r="S4" s="17">
        <v>-2070472</v>
      </c>
      <c r="T4" s="17">
        <v>-1796658.86</v>
      </c>
      <c r="U4" s="17">
        <v>-2285266.0900000003</v>
      </c>
      <c r="V4" s="17">
        <v>-1815274.01</v>
      </c>
      <c r="W4" s="17">
        <v>-1839631.9000000001</v>
      </c>
      <c r="X4" s="17">
        <v>-1909537.48</v>
      </c>
      <c r="Y4" s="84">
        <f>SUM(TB_Calicut[[#This Row],[Apr]:[Mar]])</f>
        <v>-21692224.739999998</v>
      </c>
      <c r="Z4" s="90">
        <v>-21692224.739999998</v>
      </c>
      <c r="AA4" s="46">
        <v>-2136508.5100000002</v>
      </c>
      <c r="AB4" s="47">
        <f>IFERROR(_xlfn.XLOOKUP(TB_Calicut[[#This Row],[Description]],[3]trialbalancePDS.rpt!$J$1:$J$65536,[3]trialbalancePDS.rpt!$I$1:$I$65536,0),0)</f>
        <v>-1639455.93</v>
      </c>
      <c r="AC4" s="46"/>
    </row>
    <row r="5" spans="2:29" x14ac:dyDescent="0.3">
      <c r="B5" s="5" t="s">
        <v>247</v>
      </c>
      <c r="C5" s="5" t="s">
        <v>2</v>
      </c>
      <c r="D5" s="5" t="s">
        <v>197</v>
      </c>
      <c r="E5" s="5" t="s">
        <v>3</v>
      </c>
      <c r="F5" s="5" t="s">
        <v>226</v>
      </c>
      <c r="G5" s="5" t="s">
        <v>256</v>
      </c>
      <c r="H5" s="5" t="s">
        <v>257</v>
      </c>
      <c r="I5" s="5" t="s">
        <v>512</v>
      </c>
      <c r="J5" s="5" t="s">
        <v>202</v>
      </c>
      <c r="K5" s="5" t="s">
        <v>202</v>
      </c>
      <c r="L5" s="5">
        <f>_xlfn.XLOOKUP(TB_Calicut[[#This Row],[MIS_Group1]],PL_Consol!B:B,PL_Consol!C:C)</f>
        <v>3</v>
      </c>
      <c r="M5" s="17">
        <v>0</v>
      </c>
      <c r="N5" s="17">
        <v>177277</v>
      </c>
      <c r="O5" s="17">
        <v>147334</v>
      </c>
      <c r="P5" s="17">
        <v>168197</v>
      </c>
      <c r="Q5" s="17">
        <v>204106.4</v>
      </c>
      <c r="R5" s="17">
        <v>225680.8</v>
      </c>
      <c r="S5" s="17">
        <v>237185.1</v>
      </c>
      <c r="T5" s="17">
        <v>206012</v>
      </c>
      <c r="U5" s="17">
        <v>170066</v>
      </c>
      <c r="V5" s="17">
        <v>149850</v>
      </c>
      <c r="W5" s="17">
        <v>166533.5</v>
      </c>
      <c r="X5" s="17">
        <v>174799</v>
      </c>
      <c r="Y5" s="84">
        <f>SUM(TB_Calicut[[#This Row],[Apr]:[Mar]])</f>
        <v>2027040.8</v>
      </c>
      <c r="Z5" s="90">
        <v>2027040.8</v>
      </c>
      <c r="AA5" s="46">
        <v>189384.5</v>
      </c>
      <c r="AB5" s="47">
        <f>IFERROR(_xlfn.XLOOKUP(TB_Calicut[[#This Row],[Description]],[3]trialbalancePDS.rpt!$J$1:$J$65536,[3]trialbalancePDS.rpt!$I$1:$I$65536,0),0)</f>
        <v>136588.22</v>
      </c>
      <c r="AC5" s="46"/>
    </row>
    <row r="6" spans="2:29" x14ac:dyDescent="0.3">
      <c r="B6" s="5" t="s">
        <v>8</v>
      </c>
      <c r="C6" s="5" t="s">
        <v>2</v>
      </c>
      <c r="D6" s="5" t="s">
        <v>197</v>
      </c>
      <c r="E6" s="5" t="s">
        <v>3</v>
      </c>
      <c r="F6" s="5" t="s">
        <v>226</v>
      </c>
      <c r="G6" s="5" t="s">
        <v>7</v>
      </c>
      <c r="H6" s="5" t="s">
        <v>234</v>
      </c>
      <c r="I6" s="5" t="s">
        <v>512</v>
      </c>
      <c r="J6" s="5" t="s">
        <v>202</v>
      </c>
      <c r="K6" s="5" t="s">
        <v>202</v>
      </c>
      <c r="L6" s="5">
        <f>_xlfn.XLOOKUP(TB_Calicut[[#This Row],[MIS_Group1]],PL_Consol!B:B,PL_Consol!C:C)</f>
        <v>3</v>
      </c>
      <c r="M6" s="17">
        <v>-837744.83</v>
      </c>
      <c r="N6" s="17">
        <v>-759922.18</v>
      </c>
      <c r="O6" s="17">
        <v>-797660</v>
      </c>
      <c r="P6" s="17">
        <v>-985160.54</v>
      </c>
      <c r="Q6" s="17">
        <v>-1040134.7</v>
      </c>
      <c r="R6" s="17">
        <v>-1068225.1299999999</v>
      </c>
      <c r="S6" s="17">
        <v>-1002266.08</v>
      </c>
      <c r="T6" s="17">
        <v>-816630</v>
      </c>
      <c r="U6" s="17">
        <v>-814184.79</v>
      </c>
      <c r="V6" s="17">
        <v>-818745.92</v>
      </c>
      <c r="W6" s="17">
        <v>-885654.74</v>
      </c>
      <c r="X6" s="17">
        <v>-809501.26</v>
      </c>
      <c r="Y6" s="84">
        <f>SUM(TB_Calicut[[#This Row],[Apr]:[Mar]])</f>
        <v>-10635830.17</v>
      </c>
      <c r="Z6" s="90">
        <v>-10635830.17</v>
      </c>
      <c r="AA6" s="46">
        <v>-768670.54</v>
      </c>
      <c r="AB6" s="47">
        <f>IFERROR(_xlfn.XLOOKUP(TB_Calicut[[#This Row],[Description]],[3]trialbalancePDS.rpt!$J$1:$J$65536,[3]trialbalancePDS.rpt!$I$1:$I$65536,0),0)</f>
        <v>-749070</v>
      </c>
      <c r="AC6" s="46"/>
    </row>
    <row r="7" spans="2:29" x14ac:dyDescent="0.3">
      <c r="B7" s="5" t="s">
        <v>63</v>
      </c>
      <c r="C7" s="5" t="s">
        <v>2</v>
      </c>
      <c r="D7" s="5" t="s">
        <v>197</v>
      </c>
      <c r="E7" s="5" t="s">
        <v>3</v>
      </c>
      <c r="F7" s="5" t="s">
        <v>226</v>
      </c>
      <c r="G7" s="5" t="s">
        <v>7</v>
      </c>
      <c r="H7" s="5" t="s">
        <v>235</v>
      </c>
      <c r="I7" s="5" t="s">
        <v>512</v>
      </c>
      <c r="J7" s="5" t="s">
        <v>202</v>
      </c>
      <c r="K7" s="5" t="s">
        <v>202</v>
      </c>
      <c r="L7" s="5">
        <f>_xlfn.XLOOKUP(TB_Calicut[[#This Row],[MIS_Group1]],PL_Consol!B:B,PL_Consol!C:C)</f>
        <v>3</v>
      </c>
      <c r="M7" s="17">
        <v>-354914.17</v>
      </c>
      <c r="N7" s="17">
        <v>-445967.82</v>
      </c>
      <c r="O7" s="17">
        <v>-597780</v>
      </c>
      <c r="P7" s="17">
        <v>-510619.46</v>
      </c>
      <c r="Q7" s="17">
        <v>-589867.30000000005</v>
      </c>
      <c r="R7" s="17">
        <v>-422214.87</v>
      </c>
      <c r="S7" s="17">
        <v>-484363.92</v>
      </c>
      <c r="T7" s="17">
        <v>-590400</v>
      </c>
      <c r="U7" s="17">
        <v>-412595.21</v>
      </c>
      <c r="V7" s="17">
        <v>-385484.08</v>
      </c>
      <c r="W7" s="17">
        <v>-633475.26</v>
      </c>
      <c r="X7" s="17">
        <v>-481568.74</v>
      </c>
      <c r="Y7" s="84">
        <f>SUM(TB_Calicut[[#This Row],[Apr]:[Mar]])</f>
        <v>-5909250.8300000001</v>
      </c>
      <c r="Z7" s="90">
        <v>-5909250.8300000001</v>
      </c>
      <c r="AA7" s="46">
        <v>-408019.46</v>
      </c>
      <c r="AB7" s="47">
        <f>IFERROR(_xlfn.XLOOKUP(TB_Calicut[[#This Row],[Description]],[3]trialbalancePDS.rpt!$J$1:$J$65536,[3]trialbalancePDS.rpt!$I$1:$I$65536,0),0)</f>
        <v>-471660</v>
      </c>
      <c r="AC7" s="46"/>
    </row>
    <row r="8" spans="2:29" x14ac:dyDescent="0.3">
      <c r="B8" s="5" t="s">
        <v>249</v>
      </c>
      <c r="C8" s="5" t="s">
        <v>2</v>
      </c>
      <c r="D8" s="5" t="s">
        <v>197</v>
      </c>
      <c r="E8" s="5" t="s">
        <v>12</v>
      </c>
      <c r="F8" s="5" t="s">
        <v>13</v>
      </c>
      <c r="G8" s="5" t="s">
        <v>13</v>
      </c>
      <c r="H8" s="5" t="s">
        <v>13</v>
      </c>
      <c r="I8" s="5" t="s">
        <v>512</v>
      </c>
      <c r="J8" s="5" t="s">
        <v>12</v>
      </c>
      <c r="K8" s="5" t="e">
        <v>#N/A</v>
      </c>
      <c r="L8" s="5">
        <f>_xlfn.XLOOKUP(TB_Calicut[[#This Row],[MIS_Group1]],PL_Consol!B:B,PL_Consol!C:C)</f>
        <v>7</v>
      </c>
      <c r="M8" s="17">
        <v>0</v>
      </c>
      <c r="N8" s="17">
        <v>0</v>
      </c>
      <c r="O8" s="17">
        <v>0</v>
      </c>
      <c r="P8" s="17">
        <v>-38090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84">
        <f>SUM(TB_Calicut[[#This Row],[Apr]:[Mar]])</f>
        <v>-38090</v>
      </c>
      <c r="Z8" s="90">
        <v>-38090</v>
      </c>
      <c r="AA8" s="46">
        <v>0</v>
      </c>
      <c r="AB8" s="47">
        <f>IFERROR(_xlfn.XLOOKUP(TB_Calicut[[#This Row],[Description]],[3]trialbalancePDS.rpt!$J$1:$J$65536,[3]trialbalancePDS.rpt!$I$1:$I$65536,0),0)</f>
        <v>0</v>
      </c>
      <c r="AC8" s="46"/>
    </row>
    <row r="9" spans="2:29" x14ac:dyDescent="0.3">
      <c r="B9" s="5" t="s">
        <v>17</v>
      </c>
      <c r="C9" s="5" t="s">
        <v>2</v>
      </c>
      <c r="D9" s="5" t="s">
        <v>197</v>
      </c>
      <c r="E9" s="5" t="s">
        <v>12</v>
      </c>
      <c r="F9" s="5" t="s">
        <v>15</v>
      </c>
      <c r="G9" s="5" t="s">
        <v>15</v>
      </c>
      <c r="H9" s="5" t="s">
        <v>15</v>
      </c>
      <c r="I9" s="5" t="s">
        <v>512</v>
      </c>
      <c r="J9" s="5" t="s">
        <v>12</v>
      </c>
      <c r="K9" s="5" t="s">
        <v>263</v>
      </c>
      <c r="L9" s="5">
        <f>_xlfn.XLOOKUP(TB_Calicut[[#This Row],[MIS_Group1]],PL_Consol!B:B,PL_Consol!C:C)</f>
        <v>7</v>
      </c>
      <c r="M9" s="17">
        <v>0</v>
      </c>
      <c r="N9" s="17">
        <v>0</v>
      </c>
      <c r="O9" s="17">
        <v>0</v>
      </c>
      <c r="P9" s="17">
        <v>-29019</v>
      </c>
      <c r="Q9" s="17">
        <v>-11326</v>
      </c>
      <c r="R9" s="17">
        <v>-11461</v>
      </c>
      <c r="S9" s="17">
        <v>-12259</v>
      </c>
      <c r="T9" s="17">
        <v>-13443</v>
      </c>
      <c r="U9" s="17">
        <v>-12834</v>
      </c>
      <c r="V9" s="17">
        <v>-9395</v>
      </c>
      <c r="W9" s="17">
        <v>-10104</v>
      </c>
      <c r="X9" s="17">
        <v>-9618</v>
      </c>
      <c r="Y9" s="84">
        <f>SUM(TB_Calicut[[#This Row],[Apr]:[Mar]])</f>
        <v>-119459</v>
      </c>
      <c r="Z9" s="90">
        <v>-119459</v>
      </c>
      <c r="AA9" s="46">
        <v>-6728</v>
      </c>
      <c r="AB9" s="47">
        <f>IFERROR(_xlfn.XLOOKUP(TB_Calicut[[#This Row],[Description]],[3]trialbalancePDS.rpt!$J$1:$J$65536,[3]trialbalancePDS.rpt!$I$1:$I$65536,0),0)</f>
        <v>-11769</v>
      </c>
      <c r="AC9" s="46"/>
    </row>
    <row r="10" spans="2:29" x14ac:dyDescent="0.3">
      <c r="B10" s="5" t="s">
        <v>12</v>
      </c>
      <c r="C10" s="5" t="s">
        <v>2</v>
      </c>
      <c r="D10" s="5" t="s">
        <v>197</v>
      </c>
      <c r="E10" s="5" t="s">
        <v>12</v>
      </c>
      <c r="F10" s="5" t="s">
        <v>15</v>
      </c>
      <c r="G10" s="5" t="s">
        <v>15</v>
      </c>
      <c r="H10" s="5" t="s">
        <v>15</v>
      </c>
      <c r="I10" s="5" t="s">
        <v>512</v>
      </c>
      <c r="J10" s="5" t="s">
        <v>12</v>
      </c>
      <c r="K10" s="5" t="s">
        <v>263</v>
      </c>
      <c r="L10" s="5">
        <f>_xlfn.XLOOKUP(TB_Calicut[[#This Row],[MIS_Group1]],PL_Consol!B:B,PL_Consol!C:C)</f>
        <v>7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84">
        <f>SUM(TB_Calicut[[#This Row],[Apr]:[Mar]])</f>
        <v>0</v>
      </c>
      <c r="Z10" s="90">
        <v>0</v>
      </c>
      <c r="AA10" s="46">
        <v>0</v>
      </c>
      <c r="AB10" s="47">
        <f>IFERROR(_xlfn.XLOOKUP(TB_Calicut[[#This Row],[Description]],[3]trialbalancePDS.rpt!$J$1:$J$65536,[3]trialbalancePDS.rpt!$I$1:$I$65536,0),0)</f>
        <v>0</v>
      </c>
      <c r="AC10" s="46"/>
    </row>
    <row r="11" spans="2:29" x14ac:dyDescent="0.3">
      <c r="B11" s="5" t="s">
        <v>78</v>
      </c>
      <c r="C11" s="5" t="s">
        <v>2</v>
      </c>
      <c r="D11" s="5" t="s">
        <v>198</v>
      </c>
      <c r="E11" s="5" t="s">
        <v>25</v>
      </c>
      <c r="F11" s="5" t="s">
        <v>26</v>
      </c>
      <c r="G11" s="5" t="s">
        <v>78</v>
      </c>
      <c r="H11" s="5" t="s">
        <v>78</v>
      </c>
      <c r="I11" s="5" t="s">
        <v>512</v>
      </c>
      <c r="J11" s="5" t="s">
        <v>268</v>
      </c>
      <c r="K11" s="5" t="s">
        <v>269</v>
      </c>
      <c r="L11" s="5">
        <f>_xlfn.XLOOKUP(TB_Calicut[[#This Row],[MIS_Group1]],PL_Consol!B:B,PL_Consol!C:C)</f>
        <v>8</v>
      </c>
      <c r="M11" s="17">
        <v>785882.16</v>
      </c>
      <c r="N11" s="17">
        <v>1148391.23</v>
      </c>
      <c r="O11" s="17">
        <v>1026217.12</v>
      </c>
      <c r="P11" s="17">
        <v>1213172.6299999999</v>
      </c>
      <c r="Q11" s="17">
        <v>1032194.69</v>
      </c>
      <c r="R11" s="17">
        <v>1364508.7</v>
      </c>
      <c r="S11" s="17">
        <v>1636801.2</v>
      </c>
      <c r="T11" s="17">
        <v>1398489.49</v>
      </c>
      <c r="U11" s="17">
        <v>1820763.49</v>
      </c>
      <c r="V11" s="17">
        <v>1201845.44</v>
      </c>
      <c r="W11" s="17">
        <v>1895389.24</v>
      </c>
      <c r="X11" s="17">
        <v>2744870.23</v>
      </c>
      <c r="Y11" s="84">
        <f>SUM(TB_Calicut[[#This Row],[Apr]:[Mar]])</f>
        <v>17268525.620000001</v>
      </c>
      <c r="Z11" s="90">
        <v>17268525.620000001</v>
      </c>
      <c r="AA11" s="46">
        <v>1109206.1100000001</v>
      </c>
      <c r="AB11" s="47">
        <f>IFERROR(_xlfn.XLOOKUP(TB_Calicut[[#This Row],[Description]],[3]trialbalancePDS.rpt!$J$1:$J$65536,[3]trialbalancePDS.rpt!$I$1:$I$65536,0),0)</f>
        <v>1108339.18</v>
      </c>
      <c r="AC11" s="46"/>
    </row>
    <row r="12" spans="2:29" x14ac:dyDescent="0.3">
      <c r="B12" s="5" t="s">
        <v>79</v>
      </c>
      <c r="C12" s="5" t="s">
        <v>2</v>
      </c>
      <c r="D12" s="5" t="s">
        <v>198</v>
      </c>
      <c r="E12" s="5" t="s">
        <v>25</v>
      </c>
      <c r="F12" s="5" t="s">
        <v>26</v>
      </c>
      <c r="G12" s="5" t="s">
        <v>231</v>
      </c>
      <c r="H12" s="5" t="s">
        <v>231</v>
      </c>
      <c r="I12" s="5" t="s">
        <v>512</v>
      </c>
      <c r="J12" s="5" t="s">
        <v>268</v>
      </c>
      <c r="K12" s="5" t="s">
        <v>269</v>
      </c>
      <c r="L12" s="5">
        <f>_xlfn.XLOOKUP(TB_Calicut[[#This Row],[MIS_Group1]],PL_Consol!B:B,PL_Consol!C:C)</f>
        <v>8</v>
      </c>
      <c r="M12" s="17">
        <v>0</v>
      </c>
      <c r="N12" s="17">
        <v>0</v>
      </c>
      <c r="O12" s="17">
        <v>0</v>
      </c>
      <c r="P12" s="17">
        <v>3976.82</v>
      </c>
      <c r="Q12" s="17">
        <v>0</v>
      </c>
      <c r="R12" s="17">
        <v>0</v>
      </c>
      <c r="S12" s="17">
        <v>13513.25</v>
      </c>
      <c r="T12" s="17">
        <v>0</v>
      </c>
      <c r="U12" s="17">
        <v>25356</v>
      </c>
      <c r="V12" s="17">
        <v>571</v>
      </c>
      <c r="W12" s="17">
        <v>0</v>
      </c>
      <c r="X12" s="17">
        <v>441.18</v>
      </c>
      <c r="Y12" s="84">
        <f>SUM(TB_Calicut[[#This Row],[Apr]:[Mar]])</f>
        <v>43858.25</v>
      </c>
      <c r="Z12" s="90">
        <v>43858.25</v>
      </c>
      <c r="AA12" s="46">
        <v>5423.78</v>
      </c>
      <c r="AB12" s="47">
        <f>IFERROR(_xlfn.XLOOKUP(TB_Calicut[[#This Row],[Description]],[3]trialbalancePDS.rpt!$J$1:$J$65536,[3]trialbalancePDS.rpt!$I$1:$I$65536,0),0)</f>
        <v>0</v>
      </c>
      <c r="AC12" s="46"/>
    </row>
    <row r="13" spans="2:29" x14ac:dyDescent="0.3">
      <c r="B13" s="5" t="s">
        <v>250</v>
      </c>
      <c r="C13" s="5" t="s">
        <v>2</v>
      </c>
      <c r="D13" s="5" t="s">
        <v>198</v>
      </c>
      <c r="E13" s="5" t="s">
        <v>25</v>
      </c>
      <c r="F13" s="5" t="s">
        <v>26</v>
      </c>
      <c r="G13" s="5" t="s">
        <v>231</v>
      </c>
      <c r="H13" s="5" t="s">
        <v>231</v>
      </c>
      <c r="I13" s="5" t="s">
        <v>512</v>
      </c>
      <c r="J13" s="5" t="s">
        <v>268</v>
      </c>
      <c r="K13" s="5" t="e">
        <v>#N/A</v>
      </c>
      <c r="L13" s="5">
        <f>_xlfn.XLOOKUP(TB_Calicut[[#This Row],[MIS_Group1]],PL_Consol!B:B,PL_Consol!C:C)</f>
        <v>8</v>
      </c>
      <c r="M13" s="17">
        <v>0</v>
      </c>
      <c r="N13" s="17">
        <v>0</v>
      </c>
      <c r="O13" s="17">
        <v>0</v>
      </c>
      <c r="P13" s="17">
        <v>0</v>
      </c>
      <c r="Q13" s="17">
        <v>2430</v>
      </c>
      <c r="R13" s="17">
        <v>0</v>
      </c>
      <c r="S13" s="17">
        <v>413</v>
      </c>
      <c r="T13" s="17">
        <v>0</v>
      </c>
      <c r="U13" s="17">
        <v>0</v>
      </c>
      <c r="V13" s="17">
        <v>0</v>
      </c>
      <c r="W13" s="17">
        <v>300</v>
      </c>
      <c r="X13" s="17">
        <v>0</v>
      </c>
      <c r="Y13" s="84">
        <f>SUM(TB_Calicut[[#This Row],[Apr]:[Mar]])</f>
        <v>3143</v>
      </c>
      <c r="Z13" s="90">
        <v>3143</v>
      </c>
      <c r="AA13" s="46">
        <v>0</v>
      </c>
      <c r="AB13" s="47">
        <f>IFERROR(_xlfn.XLOOKUP(TB_Calicut[[#This Row],[Description]],[3]trialbalancePDS.rpt!$J$1:$J$65536,[3]trialbalancePDS.rpt!$I$1:$I$65536,0),0)</f>
        <v>420</v>
      </c>
      <c r="AC13" s="46"/>
    </row>
    <row r="14" spans="2:29" x14ac:dyDescent="0.3">
      <c r="B14" s="5" t="s">
        <v>82</v>
      </c>
      <c r="C14" s="5" t="s">
        <v>2</v>
      </c>
      <c r="D14" s="5" t="s">
        <v>198</v>
      </c>
      <c r="E14" s="5" t="s">
        <v>25</v>
      </c>
      <c r="F14" s="5" t="s">
        <v>26</v>
      </c>
      <c r="G14" s="5" t="s">
        <v>231</v>
      </c>
      <c r="H14" s="5" t="s">
        <v>231</v>
      </c>
      <c r="I14" s="5" t="s">
        <v>512</v>
      </c>
      <c r="J14" s="5" t="s">
        <v>268</v>
      </c>
      <c r="K14" s="5" t="s">
        <v>269</v>
      </c>
      <c r="L14" s="5">
        <f>_xlfn.XLOOKUP(TB_Calicut[[#This Row],[MIS_Group1]],PL_Consol!B:B,PL_Consol!C:C)</f>
        <v>8</v>
      </c>
      <c r="M14" s="17">
        <v>0</v>
      </c>
      <c r="N14" s="17">
        <v>767</v>
      </c>
      <c r="O14" s="17">
        <v>767</v>
      </c>
      <c r="P14" s="17">
        <v>907</v>
      </c>
      <c r="Q14" s="17">
        <v>0</v>
      </c>
      <c r="R14" s="17">
        <v>941</v>
      </c>
      <c r="S14" s="17">
        <v>2989.75</v>
      </c>
      <c r="T14" s="17">
        <v>0</v>
      </c>
      <c r="U14" s="17">
        <v>1601</v>
      </c>
      <c r="V14" s="17">
        <v>1013</v>
      </c>
      <c r="W14" s="17">
        <v>0</v>
      </c>
      <c r="X14" s="17">
        <v>1276</v>
      </c>
      <c r="Y14" s="84">
        <f>SUM(TB_Calicut[[#This Row],[Apr]:[Mar]])</f>
        <v>10261.75</v>
      </c>
      <c r="Z14" s="90">
        <v>10261.75</v>
      </c>
      <c r="AA14" s="46">
        <v>0</v>
      </c>
      <c r="AB14" s="47">
        <f>IFERROR(_xlfn.XLOOKUP(TB_Calicut[[#This Row],[Description]],[3]trialbalancePDS.rpt!$J$1:$J$65536,[3]trialbalancePDS.rpt!$I$1:$I$65536,0),0)</f>
        <v>0</v>
      </c>
      <c r="AC14" s="46"/>
    </row>
    <row r="15" spans="2:29" x14ac:dyDescent="0.3">
      <c r="B15" s="5" t="s">
        <v>88</v>
      </c>
      <c r="C15" s="5" t="s">
        <v>2</v>
      </c>
      <c r="D15" s="5" t="s">
        <v>198</v>
      </c>
      <c r="E15" s="5" t="s">
        <v>25</v>
      </c>
      <c r="F15" s="5" t="s">
        <v>62</v>
      </c>
      <c r="G15" s="5" t="s">
        <v>62</v>
      </c>
      <c r="H15" s="5" t="s">
        <v>62</v>
      </c>
      <c r="I15" s="5" t="s">
        <v>512</v>
      </c>
      <c r="J15" s="5" t="s">
        <v>202</v>
      </c>
      <c r="K15" s="5" t="s">
        <v>202</v>
      </c>
      <c r="L15" s="5">
        <f>_xlfn.XLOOKUP(TB_Calicut[[#This Row],[MIS_Group1]],PL_Consol!B:B,PL_Consol!C:C)</f>
        <v>3</v>
      </c>
      <c r="M15" s="17">
        <v>448.01</v>
      </c>
      <c r="N15" s="17">
        <v>129470</v>
      </c>
      <c r="O15" s="17">
        <v>252790.01</v>
      </c>
      <c r="P15" s="17">
        <v>80420</v>
      </c>
      <c r="Q15" s="17">
        <v>168679.99</v>
      </c>
      <c r="R15" s="17">
        <v>1243.29</v>
      </c>
      <c r="S15" s="17">
        <v>59770</v>
      </c>
      <c r="T15" s="17">
        <v>154540</v>
      </c>
      <c r="U15" s="17">
        <v>210</v>
      </c>
      <c r="V15" s="17">
        <v>1557</v>
      </c>
      <c r="W15" s="17">
        <v>175280</v>
      </c>
      <c r="X15" s="17">
        <v>55905</v>
      </c>
      <c r="Y15" s="84">
        <f>SUM(TB_Calicut[[#This Row],[Apr]:[Mar]])</f>
        <v>1080313.3</v>
      </c>
      <c r="Z15" s="90">
        <v>1080313.3</v>
      </c>
      <c r="AA15" s="46">
        <v>70900</v>
      </c>
      <c r="AB15" s="47">
        <f>IFERROR(_xlfn.XLOOKUP(TB_Calicut[[#This Row],[Description]],[3]trialbalancePDS.rpt!$J$1:$J$65536,[3]trialbalancePDS.rpt!$I$1:$I$65536,0),0)</f>
        <v>17070</v>
      </c>
      <c r="AC15" s="46"/>
    </row>
    <row r="16" spans="2:29" x14ac:dyDescent="0.3">
      <c r="B16" s="5" t="s">
        <v>93</v>
      </c>
      <c r="C16" s="5" t="s">
        <v>2</v>
      </c>
      <c r="D16" s="5" t="s">
        <v>198</v>
      </c>
      <c r="E16" s="5" t="s">
        <v>25</v>
      </c>
      <c r="F16" s="5" t="s">
        <v>62</v>
      </c>
      <c r="G16" s="5" t="s">
        <v>62</v>
      </c>
      <c r="H16" s="5" t="s">
        <v>62</v>
      </c>
      <c r="I16" s="5" t="s">
        <v>512</v>
      </c>
      <c r="J16" s="5" t="s">
        <v>202</v>
      </c>
      <c r="K16" s="5" t="s">
        <v>202</v>
      </c>
      <c r="L16" s="5">
        <f>_xlfn.XLOOKUP(TB_Calicut[[#This Row],[MIS_Group1]],PL_Consol!B:B,PL_Consol!C:C)</f>
        <v>3</v>
      </c>
      <c r="M16" s="17">
        <v>1640</v>
      </c>
      <c r="N16" s="17">
        <v>1330</v>
      </c>
      <c r="O16" s="17">
        <v>2300</v>
      </c>
      <c r="P16" s="17">
        <v>1070</v>
      </c>
      <c r="Q16" s="17">
        <v>1200</v>
      </c>
      <c r="R16" s="17">
        <v>4073.72</v>
      </c>
      <c r="S16" s="17">
        <v>1730</v>
      </c>
      <c r="T16" s="17">
        <v>780</v>
      </c>
      <c r="U16" s="17">
        <v>800</v>
      </c>
      <c r="V16" s="17">
        <v>1580</v>
      </c>
      <c r="W16" s="17">
        <v>5040</v>
      </c>
      <c r="X16" s="17">
        <v>300</v>
      </c>
      <c r="Y16" s="84">
        <f>SUM(TB_Calicut[[#This Row],[Apr]:[Mar]])</f>
        <v>21843.72</v>
      </c>
      <c r="Z16" s="90">
        <v>21843.72</v>
      </c>
      <c r="AA16" s="46">
        <v>450</v>
      </c>
      <c r="AB16" s="47">
        <f>IFERROR(_xlfn.XLOOKUP(TB_Calicut[[#This Row],[Description]],[3]trialbalancePDS.rpt!$J$1:$J$65536,[3]trialbalancePDS.rpt!$I$1:$I$65536,0),0)</f>
        <v>0</v>
      </c>
      <c r="AC16" s="46"/>
    </row>
    <row r="17" spans="2:31" x14ac:dyDescent="0.3">
      <c r="B17" s="5" t="s">
        <v>94</v>
      </c>
      <c r="C17" s="5" t="s">
        <v>2</v>
      </c>
      <c r="D17" s="5" t="s">
        <v>198</v>
      </c>
      <c r="E17" s="5" t="s">
        <v>25</v>
      </c>
      <c r="F17" s="5" t="s">
        <v>62</v>
      </c>
      <c r="G17" s="5" t="s">
        <v>62</v>
      </c>
      <c r="H17" s="5" t="s">
        <v>62</v>
      </c>
      <c r="I17" s="5" t="s">
        <v>512</v>
      </c>
      <c r="J17" s="5" t="s">
        <v>201</v>
      </c>
      <c r="K17" s="5" t="s">
        <v>201</v>
      </c>
      <c r="L17" s="5">
        <f>_xlfn.XLOOKUP(TB_Calicut[[#This Row],[MIS_Group1]],PL_Consol!B:B,PL_Consol!C:C)</f>
        <v>4</v>
      </c>
      <c r="M17" s="17">
        <v>3.48</v>
      </c>
      <c r="N17" s="17">
        <v>3.48</v>
      </c>
      <c r="O17" s="17">
        <v>18</v>
      </c>
      <c r="P17" s="17">
        <v>15.96</v>
      </c>
      <c r="Q17" s="17">
        <v>22.5</v>
      </c>
      <c r="R17" s="17">
        <v>22.5</v>
      </c>
      <c r="S17" s="17">
        <v>9</v>
      </c>
      <c r="T17" s="17">
        <v>0</v>
      </c>
      <c r="U17" s="17">
        <v>4.5</v>
      </c>
      <c r="V17" s="17">
        <v>4.5</v>
      </c>
      <c r="W17" s="17">
        <v>27</v>
      </c>
      <c r="X17" s="17">
        <v>13.95</v>
      </c>
      <c r="Y17" s="84">
        <f>SUM(TB_Calicut[[#This Row],[Apr]:[Mar]])</f>
        <v>144.87</v>
      </c>
      <c r="Z17" s="90">
        <v>144.87</v>
      </c>
      <c r="AA17" s="46">
        <v>4.5</v>
      </c>
      <c r="AB17" s="47">
        <f>IFERROR(_xlfn.XLOOKUP(TB_Calicut[[#This Row],[Description]],[3]trialbalancePDS.rpt!$J$1:$J$65536,[3]trialbalancePDS.rpt!$I$1:$I$65536,0),0)</f>
        <v>4.5</v>
      </c>
      <c r="AC17" s="46"/>
    </row>
    <row r="18" spans="2:31" x14ac:dyDescent="0.3">
      <c r="B18" s="5" t="s">
        <v>95</v>
      </c>
      <c r="C18" s="5" t="s">
        <v>2</v>
      </c>
      <c r="D18" s="5" t="s">
        <v>198</v>
      </c>
      <c r="E18" s="5" t="s">
        <v>25</v>
      </c>
      <c r="F18" s="5" t="s">
        <v>62</v>
      </c>
      <c r="G18" s="5" t="s">
        <v>62</v>
      </c>
      <c r="H18" s="5" t="s">
        <v>62</v>
      </c>
      <c r="I18" s="5" t="s">
        <v>512</v>
      </c>
      <c r="J18" s="5" t="s">
        <v>201</v>
      </c>
      <c r="K18" s="5" t="s">
        <v>201</v>
      </c>
      <c r="L18" s="5">
        <f>_xlfn.XLOOKUP(TB_Calicut[[#This Row],[MIS_Group1]],PL_Consol!B:B,PL_Consol!C:C)</f>
        <v>4</v>
      </c>
      <c r="M18" s="17">
        <v>2462.89</v>
      </c>
      <c r="N18" s="17">
        <v>3142.03</v>
      </c>
      <c r="O18" s="17">
        <v>1341.7</v>
      </c>
      <c r="P18" s="17">
        <v>4319.54</v>
      </c>
      <c r="Q18" s="17">
        <v>2272.12</v>
      </c>
      <c r="R18" s="17">
        <v>4183.5600000000004</v>
      </c>
      <c r="S18" s="17">
        <v>3641.1</v>
      </c>
      <c r="T18" s="17">
        <v>1846.39</v>
      </c>
      <c r="U18" s="17">
        <v>2933.45</v>
      </c>
      <c r="V18" s="17">
        <v>3086.04</v>
      </c>
      <c r="W18" s="17">
        <v>3296.5699999999988</v>
      </c>
      <c r="X18" s="17">
        <v>2931.97</v>
      </c>
      <c r="Y18" s="84">
        <f>SUM(TB_Calicut[[#This Row],[Apr]:[Mar]])</f>
        <v>35457.360000000001</v>
      </c>
      <c r="Z18" s="90">
        <v>35457.360000000001</v>
      </c>
      <c r="AA18" s="46">
        <v>2310.27</v>
      </c>
      <c r="AB18" s="47">
        <f>IFERROR(_xlfn.XLOOKUP(TB_Calicut[[#This Row],[Description]],[3]trialbalancePDS.rpt!$J$1:$J$65536,[3]trialbalancePDS.rpt!$I$1:$I$65536,0),0)</f>
        <v>3279.2000000000003</v>
      </c>
      <c r="AC18" s="46"/>
      <c r="AE18" s="24"/>
    </row>
    <row r="19" spans="2:31" x14ac:dyDescent="0.3">
      <c r="B19" s="5" t="s">
        <v>251</v>
      </c>
      <c r="C19" s="5" t="s">
        <v>2</v>
      </c>
      <c r="D19" s="5" t="s">
        <v>198</v>
      </c>
      <c r="E19" s="5" t="s">
        <v>25</v>
      </c>
      <c r="F19" s="5" t="s">
        <v>62</v>
      </c>
      <c r="G19" s="5" t="s">
        <v>62</v>
      </c>
      <c r="H19" s="5" t="s">
        <v>62</v>
      </c>
      <c r="I19" s="5" t="s">
        <v>512</v>
      </c>
      <c r="J19" s="5" t="s">
        <v>202</v>
      </c>
      <c r="K19" s="5" t="s">
        <v>202</v>
      </c>
      <c r="L19" s="5">
        <f>_xlfn.XLOOKUP(TB_Calicut[[#This Row],[MIS_Group1]],PL_Consol!B:B,PL_Consol!C:C)</f>
        <v>3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2430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84">
        <f>SUM(TB_Calicut[[#This Row],[Apr]:[Mar]])</f>
        <v>2430</v>
      </c>
      <c r="Z19" s="90">
        <v>2430</v>
      </c>
      <c r="AA19" s="46">
        <v>0</v>
      </c>
      <c r="AB19" s="47">
        <f>IFERROR(_xlfn.XLOOKUP(TB_Calicut[[#This Row],[Description]],[3]trialbalancePDS.rpt!$J$1:$J$65536,[3]trialbalancePDS.rpt!$I$1:$I$65536,0),0)</f>
        <v>0</v>
      </c>
      <c r="AC19" s="46"/>
    </row>
    <row r="20" spans="2:31" x14ac:dyDescent="0.3">
      <c r="B20" s="5" t="s">
        <v>252</v>
      </c>
      <c r="C20" s="5" t="s">
        <v>2</v>
      </c>
      <c r="D20" s="5" t="s">
        <v>198</v>
      </c>
      <c r="E20" s="5" t="s">
        <v>25</v>
      </c>
      <c r="F20" s="5" t="s">
        <v>60</v>
      </c>
      <c r="G20" s="5" t="s">
        <v>60</v>
      </c>
      <c r="H20" s="5" t="s">
        <v>60</v>
      </c>
      <c r="I20" s="5" t="s">
        <v>512</v>
      </c>
      <c r="J20" s="5" t="s">
        <v>202</v>
      </c>
      <c r="K20" s="5" t="s">
        <v>202</v>
      </c>
      <c r="L20" s="5">
        <f>_xlfn.XLOOKUP(TB_Calicut[[#This Row],[MIS_Group1]],PL_Consol!B:B,PL_Consol!C:C)</f>
        <v>3</v>
      </c>
      <c r="M20" s="17">
        <v>0</v>
      </c>
      <c r="N20" s="17">
        <v>5320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36655.97</v>
      </c>
      <c r="W20" s="17">
        <v>4990.04</v>
      </c>
      <c r="X20" s="17">
        <v>3400</v>
      </c>
      <c r="Y20" s="84">
        <f>SUM(TB_Calicut[[#This Row],[Apr]:[Mar]])</f>
        <v>50366.01</v>
      </c>
      <c r="Z20" s="90">
        <v>50366.01</v>
      </c>
      <c r="AA20" s="46">
        <v>0</v>
      </c>
      <c r="AB20" s="47">
        <f>IFERROR(_xlfn.XLOOKUP(TB_Calicut[[#This Row],[Description]],[3]trialbalancePDS.rpt!$J$1:$J$65536,[3]trialbalancePDS.rpt!$I$1:$I$65536,0),0)</f>
        <v>0</v>
      </c>
      <c r="AC20" s="46"/>
    </row>
    <row r="21" spans="2:31" x14ac:dyDescent="0.3">
      <c r="B21" s="5" t="s">
        <v>102</v>
      </c>
      <c r="C21" s="5" t="s">
        <v>2</v>
      </c>
      <c r="D21" s="5" t="s">
        <v>198</v>
      </c>
      <c r="E21" s="5" t="s">
        <v>25</v>
      </c>
      <c r="F21" s="5" t="s">
        <v>57</v>
      </c>
      <c r="G21" s="5" t="s">
        <v>58</v>
      </c>
      <c r="H21" s="5" t="s">
        <v>102</v>
      </c>
      <c r="I21" s="5" t="s">
        <v>512</v>
      </c>
      <c r="J21" s="5" t="s">
        <v>205</v>
      </c>
      <c r="K21" s="5" t="s">
        <v>274</v>
      </c>
      <c r="L21" s="5">
        <f>_xlfn.XLOOKUP(TB_Calicut[[#This Row],[MIS_Group1]],PL_Consol!B:B,PL_Consol!C:C)</f>
        <v>9</v>
      </c>
      <c r="M21" s="17">
        <v>88333</v>
      </c>
      <c r="N21" s="17">
        <v>100000</v>
      </c>
      <c r="O21" s="17">
        <v>50000</v>
      </c>
      <c r="P21" s="17">
        <v>50000</v>
      </c>
      <c r="Q21" s="17">
        <v>93710</v>
      </c>
      <c r="R21" s="17">
        <v>107420</v>
      </c>
      <c r="S21" s="17">
        <v>105000</v>
      </c>
      <c r="T21" s="17">
        <v>55000</v>
      </c>
      <c r="U21" s="17">
        <v>55000</v>
      </c>
      <c r="V21" s="17">
        <v>98224</v>
      </c>
      <c r="W21" s="17">
        <v>99374</v>
      </c>
      <c r="X21" s="17">
        <v>54112</v>
      </c>
      <c r="Y21" s="84">
        <f>SUM(TB_Calicut[[#This Row],[Apr]:[Mar]])</f>
        <v>956173</v>
      </c>
      <c r="Z21" s="90">
        <v>956173</v>
      </c>
      <c r="AA21" s="46">
        <v>55000</v>
      </c>
      <c r="AB21" s="47">
        <f>IFERROR(_xlfn.XLOOKUP(TB_Calicut[[#This Row],[Description]],[3]trialbalancePDS.rpt!$J$1:$J$65536,[3]trialbalancePDS.rpt!$I$1:$I$65536,0),0)</f>
        <v>195913</v>
      </c>
      <c r="AC21" s="46"/>
    </row>
    <row r="22" spans="2:31" x14ac:dyDescent="0.3">
      <c r="B22" s="5" t="s">
        <v>105</v>
      </c>
      <c r="C22" s="5" t="s">
        <v>2</v>
      </c>
      <c r="D22" s="5" t="s">
        <v>198</v>
      </c>
      <c r="E22" s="5" t="s">
        <v>25</v>
      </c>
      <c r="F22" s="5" t="s">
        <v>57</v>
      </c>
      <c r="G22" s="5" t="s">
        <v>58</v>
      </c>
      <c r="H22" s="5" t="s">
        <v>105</v>
      </c>
      <c r="I22" s="5" t="s">
        <v>512</v>
      </c>
      <c r="J22" s="5" t="s">
        <v>272</v>
      </c>
      <c r="K22" s="5" t="s">
        <v>273</v>
      </c>
      <c r="L22" s="5">
        <f>_xlfn.XLOOKUP(TB_Calicut[[#This Row],[MIS_Group1]],PL_Consol!B:B,PL_Consol!C:C)</f>
        <v>10</v>
      </c>
      <c r="M22" s="17">
        <v>523464</v>
      </c>
      <c r="N22" s="17">
        <v>568837</v>
      </c>
      <c r="O22" s="17">
        <v>558124</v>
      </c>
      <c r="P22" s="17">
        <v>572662</v>
      </c>
      <c r="Q22" s="17">
        <v>569858</v>
      </c>
      <c r="R22" s="17">
        <v>585106</v>
      </c>
      <c r="S22" s="17">
        <v>630928</v>
      </c>
      <c r="T22" s="17">
        <v>575353</v>
      </c>
      <c r="U22" s="17">
        <v>614424</v>
      </c>
      <c r="V22" s="17">
        <v>621671</v>
      </c>
      <c r="W22" s="17">
        <v>621165</v>
      </c>
      <c r="X22" s="17">
        <v>610088</v>
      </c>
      <c r="Y22" s="84">
        <f>SUM(TB_Calicut[[#This Row],[Apr]:[Mar]])</f>
        <v>7051680</v>
      </c>
      <c r="Z22" s="90">
        <v>7051680</v>
      </c>
      <c r="AA22" s="46">
        <v>606028</v>
      </c>
      <c r="AB22" s="47">
        <f>IFERROR(_xlfn.XLOOKUP(TB_Calicut[[#This Row],[Description]],[3]trialbalancePDS.rpt!$J$1:$J$65536,[3]trialbalancePDS.rpt!$I$1:$I$65536,0),0)</f>
        <v>579101</v>
      </c>
      <c r="AC22" s="46"/>
    </row>
    <row r="23" spans="2:31" x14ac:dyDescent="0.3">
      <c r="B23" s="5" t="s">
        <v>59</v>
      </c>
      <c r="C23" s="5" t="s">
        <v>2</v>
      </c>
      <c r="D23" s="5" t="s">
        <v>198</v>
      </c>
      <c r="E23" s="5" t="s">
        <v>25</v>
      </c>
      <c r="F23" s="5" t="s">
        <v>57</v>
      </c>
      <c r="G23" s="5" t="s">
        <v>59</v>
      </c>
      <c r="H23" s="5" t="s">
        <v>59</v>
      </c>
      <c r="I23" s="5" t="s">
        <v>512</v>
      </c>
      <c r="J23" s="5" t="s">
        <v>272</v>
      </c>
      <c r="K23" s="5" t="s">
        <v>276</v>
      </c>
      <c r="L23" s="5">
        <f>_xlfn.XLOOKUP(TB_Calicut[[#This Row],[MIS_Group1]],PL_Consol!B:B,PL_Consol!C:C)</f>
        <v>10</v>
      </c>
      <c r="M23" s="17">
        <v>0</v>
      </c>
      <c r="N23" s="17">
        <v>21400</v>
      </c>
      <c r="O23" s="17">
        <v>28710</v>
      </c>
      <c r="P23" s="17">
        <v>33814</v>
      </c>
      <c r="Q23" s="17">
        <v>35130</v>
      </c>
      <c r="R23" s="17">
        <v>10000</v>
      </c>
      <c r="S23" s="17">
        <v>31072</v>
      </c>
      <c r="T23" s="17">
        <v>33984</v>
      </c>
      <c r="U23" s="17">
        <v>23388</v>
      </c>
      <c r="V23" s="17">
        <v>17065</v>
      </c>
      <c r="W23" s="17">
        <v>17584</v>
      </c>
      <c r="X23" s="17">
        <v>19956</v>
      </c>
      <c r="Y23" s="84">
        <f>SUM(TB_Calicut[[#This Row],[Apr]:[Mar]])</f>
        <v>272103</v>
      </c>
      <c r="Z23" s="90">
        <v>272103</v>
      </c>
      <c r="AA23" s="46">
        <v>17742</v>
      </c>
      <c r="AB23" s="47">
        <f>IFERROR(_xlfn.XLOOKUP(TB_Calicut[[#This Row],[Description]],[3]trialbalancePDS.rpt!$J$1:$J$65536,[3]trialbalancePDS.rpt!$I$1:$I$65536,0),0)</f>
        <v>17950</v>
      </c>
      <c r="AC23" s="46"/>
    </row>
    <row r="24" spans="2:31" x14ac:dyDescent="0.3">
      <c r="B24" s="5" t="s">
        <v>114</v>
      </c>
      <c r="C24" s="5" t="s">
        <v>2</v>
      </c>
      <c r="D24" s="5" t="s">
        <v>198</v>
      </c>
      <c r="E24" s="5" t="s">
        <v>25</v>
      </c>
      <c r="F24" s="5" t="s">
        <v>55</v>
      </c>
      <c r="G24" s="5" t="s">
        <v>56</v>
      </c>
      <c r="H24" s="5" t="s">
        <v>56</v>
      </c>
      <c r="I24" s="5" t="s">
        <v>512</v>
      </c>
      <c r="J24" s="5" t="s">
        <v>204</v>
      </c>
      <c r="K24" s="5" t="s">
        <v>277</v>
      </c>
      <c r="L24" s="5">
        <f>_xlfn.XLOOKUP(TB_Calicut[[#This Row],[MIS_Group1]],PL_Consol!B:B,PL_Consol!C:C)</f>
        <v>29</v>
      </c>
      <c r="M24" s="17">
        <v>373.94</v>
      </c>
      <c r="N24" s="17">
        <v>4490.1000000000004</v>
      </c>
      <c r="O24" s="17">
        <v>4067.68</v>
      </c>
      <c r="P24" s="17">
        <v>6966.78</v>
      </c>
      <c r="Q24" s="17">
        <v>6476</v>
      </c>
      <c r="R24" s="17">
        <v>6655.34</v>
      </c>
      <c r="S24" s="17">
        <v>6790.43</v>
      </c>
      <c r="T24" s="17">
        <v>8538.74</v>
      </c>
      <c r="U24" s="17">
        <v>6069.61</v>
      </c>
      <c r="V24" s="17">
        <v>6204.13</v>
      </c>
      <c r="W24" s="17">
        <v>8100.75</v>
      </c>
      <c r="X24" s="17">
        <v>7876.71</v>
      </c>
      <c r="Y24" s="84">
        <f>SUM(TB_Calicut[[#This Row],[Apr]:[Mar]])</f>
        <v>72610.210000000006</v>
      </c>
      <c r="Z24" s="90">
        <v>72610.210000000006</v>
      </c>
      <c r="AA24" s="46">
        <v>3548.77</v>
      </c>
      <c r="AB24" s="47">
        <f>IFERROR(_xlfn.XLOOKUP(TB_Calicut[[#This Row],[Description]],[3]trialbalancePDS.rpt!$J$1:$J$65536,[3]trialbalancePDS.rpt!$I$1:$I$65536,0),0)</f>
        <v>4546.26</v>
      </c>
      <c r="AC24" s="46"/>
    </row>
    <row r="25" spans="2:31" x14ac:dyDescent="0.3">
      <c r="B25" s="5" t="s">
        <v>56</v>
      </c>
      <c r="C25" s="5" t="s">
        <v>2</v>
      </c>
      <c r="D25" s="5" t="s">
        <v>198</v>
      </c>
      <c r="E25" s="5" t="s">
        <v>25</v>
      </c>
      <c r="F25" s="5" t="s">
        <v>55</v>
      </c>
      <c r="G25" s="5" t="s">
        <v>56</v>
      </c>
      <c r="H25" s="5" t="s">
        <v>56</v>
      </c>
      <c r="I25" s="5" t="s">
        <v>512</v>
      </c>
      <c r="J25" s="5" t="s">
        <v>204</v>
      </c>
      <c r="K25" s="5" t="s">
        <v>277</v>
      </c>
      <c r="L25" s="5">
        <f>_xlfn.XLOOKUP(TB_Calicut[[#This Row],[MIS_Group1]],PL_Consol!B:B,PL_Consol!C:C)</f>
        <v>29</v>
      </c>
      <c r="M25" s="17">
        <v>89.68</v>
      </c>
      <c r="N25" s="17">
        <v>1739.32</v>
      </c>
      <c r="O25" s="17">
        <v>1742.86</v>
      </c>
      <c r="P25" s="17">
        <v>1742.86</v>
      </c>
      <c r="Q25" s="17">
        <v>1748.76</v>
      </c>
      <c r="R25" s="17">
        <v>1752.03</v>
      </c>
      <c r="S25" s="17">
        <v>1735.78</v>
      </c>
      <c r="T25" s="17">
        <v>1748.65</v>
      </c>
      <c r="U25" s="17">
        <v>1744.04</v>
      </c>
      <c r="V25" s="17">
        <v>1742.08</v>
      </c>
      <c r="W25" s="17">
        <v>1740.5</v>
      </c>
      <c r="X25" s="17">
        <v>5138.1499999999996</v>
      </c>
      <c r="Y25" s="84">
        <f>SUM(TB_Calicut[[#This Row],[Apr]:[Mar]])</f>
        <v>22664.71</v>
      </c>
      <c r="Z25" s="90">
        <v>22664.71</v>
      </c>
      <c r="AA25" s="46">
        <v>1742.8600000000001</v>
      </c>
      <c r="AB25" s="47">
        <f>IFERROR(_xlfn.XLOOKUP(TB_Calicut[[#This Row],[Description]],[3]trialbalancePDS.rpt!$J$1:$J$65536,[3]trialbalancePDS.rpt!$I$1:$I$65536,0),0)</f>
        <v>1732.24</v>
      </c>
      <c r="AC25" s="46"/>
    </row>
    <row r="26" spans="2:31" x14ac:dyDescent="0.3">
      <c r="B26" s="5" t="s">
        <v>116</v>
      </c>
      <c r="C26" s="5" t="s">
        <v>2</v>
      </c>
      <c r="D26" s="5" t="s">
        <v>198</v>
      </c>
      <c r="E26" s="5" t="s">
        <v>25</v>
      </c>
      <c r="F26" s="5" t="s">
        <v>42</v>
      </c>
      <c r="G26" s="5" t="s">
        <v>54</v>
      </c>
      <c r="H26" s="5" t="s">
        <v>116</v>
      </c>
      <c r="I26" s="5" t="s">
        <v>512</v>
      </c>
      <c r="J26" s="5" t="s">
        <v>278</v>
      </c>
      <c r="K26" s="5" t="s">
        <v>279</v>
      </c>
      <c r="L26" s="5">
        <f>_xlfn.XLOOKUP(TB_Calicut[[#This Row],[MIS_Group1]],PL_Consol!B:B,PL_Consol!C:C)</f>
        <v>11</v>
      </c>
      <c r="M26" s="17">
        <v>11581.03</v>
      </c>
      <c r="N26" s="17">
        <v>17189</v>
      </c>
      <c r="O26" s="17">
        <v>10414.85</v>
      </c>
      <c r="P26" s="17">
        <v>23383</v>
      </c>
      <c r="Q26" s="17">
        <v>14951</v>
      </c>
      <c r="R26" s="17">
        <v>7874</v>
      </c>
      <c r="S26" s="17">
        <v>14733</v>
      </c>
      <c r="T26" s="17">
        <v>17214.580000000002</v>
      </c>
      <c r="U26" s="17">
        <v>7425.62</v>
      </c>
      <c r="V26" s="17">
        <v>15048</v>
      </c>
      <c r="W26" s="17">
        <v>9180</v>
      </c>
      <c r="X26" s="17">
        <v>10560</v>
      </c>
      <c r="Y26" s="84">
        <f>SUM(TB_Calicut[[#This Row],[Apr]:[Mar]])</f>
        <v>159554.08000000002</v>
      </c>
      <c r="Z26" s="90">
        <v>159554.07999999999</v>
      </c>
      <c r="AA26" s="46">
        <v>15736.05</v>
      </c>
      <c r="AB26" s="47">
        <f>IFERROR(_xlfn.XLOOKUP(TB_Calicut[[#This Row],[Description]],[3]trialbalancePDS.rpt!$J$1:$J$65536,[3]trialbalancePDS.rpt!$I$1:$I$65536,0),0)</f>
        <v>8756</v>
      </c>
      <c r="AC26" s="46"/>
    </row>
    <row r="27" spans="2:31" x14ac:dyDescent="0.3">
      <c r="B27" s="5" t="s">
        <v>118</v>
      </c>
      <c r="C27" s="5" t="s">
        <v>2</v>
      </c>
      <c r="D27" s="5" t="s">
        <v>198</v>
      </c>
      <c r="E27" s="5" t="s">
        <v>25</v>
      </c>
      <c r="F27" s="5" t="s">
        <v>42</v>
      </c>
      <c r="G27" s="5" t="s">
        <v>54</v>
      </c>
      <c r="H27" s="5" t="s">
        <v>118</v>
      </c>
      <c r="I27" s="5" t="s">
        <v>512</v>
      </c>
      <c r="J27" s="5" t="s">
        <v>278</v>
      </c>
      <c r="K27" s="5" t="s">
        <v>280</v>
      </c>
      <c r="L27" s="5">
        <f>_xlfn.XLOOKUP(TB_Calicut[[#This Row],[MIS_Group1]],PL_Consol!B:B,PL_Consol!C:C)</f>
        <v>11</v>
      </c>
      <c r="M27" s="17">
        <v>0</v>
      </c>
      <c r="N27" s="17">
        <v>6524</v>
      </c>
      <c r="O27" s="17">
        <v>0</v>
      </c>
      <c r="P27" s="17">
        <v>605</v>
      </c>
      <c r="Q27" s="17">
        <v>0</v>
      </c>
      <c r="R27" s="17">
        <v>704</v>
      </c>
      <c r="S27" s="17">
        <v>0</v>
      </c>
      <c r="T27" s="17">
        <v>577</v>
      </c>
      <c r="U27" s="17">
        <v>0</v>
      </c>
      <c r="V27" s="17">
        <v>641</v>
      </c>
      <c r="W27" s="17">
        <v>0</v>
      </c>
      <c r="X27" s="17">
        <v>1144</v>
      </c>
      <c r="Y27" s="84">
        <f>SUM(TB_Calicut[[#This Row],[Apr]:[Mar]])</f>
        <v>10195</v>
      </c>
      <c r="Z27" s="90">
        <v>10195</v>
      </c>
      <c r="AA27" s="46">
        <v>0</v>
      </c>
      <c r="AB27" s="47">
        <f>IFERROR(_xlfn.XLOOKUP(TB_Calicut[[#This Row],[Description]],[3]trialbalancePDS.rpt!$J$1:$J$65536,[3]trialbalancePDS.rpt!$I$1:$I$65536,0),0)</f>
        <v>0</v>
      </c>
      <c r="AC27" s="46"/>
    </row>
    <row r="28" spans="2:31" x14ac:dyDescent="0.3">
      <c r="B28" s="5" t="s">
        <v>119</v>
      </c>
      <c r="C28" s="5" t="s">
        <v>2</v>
      </c>
      <c r="D28" s="5" t="s">
        <v>198</v>
      </c>
      <c r="E28" s="5" t="s">
        <v>25</v>
      </c>
      <c r="F28" s="5" t="s">
        <v>42</v>
      </c>
      <c r="G28" s="5" t="s">
        <v>54</v>
      </c>
      <c r="H28" s="5" t="s">
        <v>119</v>
      </c>
      <c r="I28" s="5" t="s">
        <v>512</v>
      </c>
      <c r="J28" s="5" t="s">
        <v>278</v>
      </c>
      <c r="K28" s="5" t="s">
        <v>281</v>
      </c>
      <c r="L28" s="5">
        <f>_xlfn.XLOOKUP(TB_Calicut[[#This Row],[MIS_Group1]],PL_Consol!B:B,PL_Consol!C:C)</f>
        <v>11</v>
      </c>
      <c r="M28" s="17">
        <v>144231</v>
      </c>
      <c r="N28" s="17">
        <v>137040</v>
      </c>
      <c r="O28" s="17">
        <v>118706</v>
      </c>
      <c r="P28" s="17">
        <v>128366</v>
      </c>
      <c r="Q28" s="17">
        <v>125306</v>
      </c>
      <c r="R28" s="17">
        <v>134462</v>
      </c>
      <c r="S28" s="17">
        <v>138978</v>
      </c>
      <c r="T28" s="17">
        <v>134730</v>
      </c>
      <c r="U28" s="17">
        <v>129399</v>
      </c>
      <c r="V28" s="17">
        <v>124869</v>
      </c>
      <c r="W28" s="17">
        <v>127736</v>
      </c>
      <c r="X28" s="17">
        <v>127335</v>
      </c>
      <c r="Y28" s="84">
        <f>SUM(TB_Calicut[[#This Row],[Apr]:[Mar]])</f>
        <v>1571158</v>
      </c>
      <c r="Z28" s="90">
        <v>1571158</v>
      </c>
      <c r="AA28" s="46">
        <v>144074</v>
      </c>
      <c r="AB28" s="47">
        <f>IFERROR(_xlfn.XLOOKUP(TB_Calicut[[#This Row],[Description]],[3]trialbalancePDS.rpt!$J$1:$J$65536,[3]trialbalancePDS.rpt!$I$1:$I$65536,0),0)</f>
        <v>154207</v>
      </c>
      <c r="AC28" s="46"/>
    </row>
    <row r="29" spans="2:31" x14ac:dyDescent="0.3">
      <c r="B29" s="5" t="s">
        <v>122</v>
      </c>
      <c r="C29" s="5" t="s">
        <v>2</v>
      </c>
      <c r="D29" s="5" t="s">
        <v>198</v>
      </c>
      <c r="E29" s="5" t="s">
        <v>25</v>
      </c>
      <c r="F29" s="5" t="s">
        <v>42</v>
      </c>
      <c r="G29" s="5" t="s">
        <v>53</v>
      </c>
      <c r="H29" s="5" t="s">
        <v>122</v>
      </c>
      <c r="I29" s="5" t="s">
        <v>512</v>
      </c>
      <c r="J29" s="5" t="s">
        <v>205</v>
      </c>
      <c r="K29" s="5" t="s">
        <v>283</v>
      </c>
      <c r="L29" s="5">
        <f>_xlfn.XLOOKUP(TB_Calicut[[#This Row],[MIS_Group1]],PL_Consol!B:B,PL_Consol!C:C)</f>
        <v>9</v>
      </c>
      <c r="M29" s="17">
        <v>665000</v>
      </c>
      <c r="N29" s="17">
        <v>665000</v>
      </c>
      <c r="O29" s="17">
        <v>665000</v>
      </c>
      <c r="P29" s="17">
        <v>675000</v>
      </c>
      <c r="Q29" s="17">
        <v>675000</v>
      </c>
      <c r="R29" s="17">
        <v>675000</v>
      </c>
      <c r="S29" s="17">
        <v>675000</v>
      </c>
      <c r="T29" s="17">
        <v>675000</v>
      </c>
      <c r="U29" s="17">
        <v>669194</v>
      </c>
      <c r="V29" s="17">
        <v>500225</v>
      </c>
      <c r="W29" s="17">
        <v>628548.39</v>
      </c>
      <c r="X29" s="17">
        <v>662142.86</v>
      </c>
      <c r="Y29" s="84">
        <f>SUM(TB_Calicut[[#This Row],[Apr]:[Mar]])</f>
        <v>7830110.25</v>
      </c>
      <c r="Z29" s="90">
        <v>7830110.25</v>
      </c>
      <c r="AA29" s="46">
        <v>669193.55000000005</v>
      </c>
      <c r="AB29" s="47">
        <f>IFERROR(_xlfn.XLOOKUP(TB_Calicut[[#This Row],[Description]],[3]trialbalancePDS.rpt!$J$1:$J$65536,[3]trialbalancePDS.rpt!$I$1:$I$65536,0),0)</f>
        <v>843000</v>
      </c>
      <c r="AC29" s="46"/>
    </row>
    <row r="30" spans="2:31" x14ac:dyDescent="0.3">
      <c r="B30" s="5" t="s">
        <v>124</v>
      </c>
      <c r="C30" s="5" t="s">
        <v>2</v>
      </c>
      <c r="D30" s="5" t="s">
        <v>198</v>
      </c>
      <c r="E30" s="5" t="s">
        <v>25</v>
      </c>
      <c r="F30" s="5" t="s">
        <v>42</v>
      </c>
      <c r="G30" s="5" t="s">
        <v>53</v>
      </c>
      <c r="H30" s="5" t="s">
        <v>239</v>
      </c>
      <c r="I30" s="5" t="s">
        <v>512</v>
      </c>
      <c r="J30" s="5" t="s">
        <v>205</v>
      </c>
      <c r="K30" s="5" t="s">
        <v>285</v>
      </c>
      <c r="L30" s="5">
        <f>_xlfn.XLOOKUP(TB_Calicut[[#This Row],[MIS_Group1]],PL_Consol!B:B,PL_Consol!C:C)</f>
        <v>9</v>
      </c>
      <c r="M30" s="17">
        <v>289660</v>
      </c>
      <c r="N30" s="17">
        <v>270190</v>
      </c>
      <c r="O30" s="17">
        <v>277000</v>
      </c>
      <c r="P30" s="17">
        <v>459557</v>
      </c>
      <c r="Q30" s="17">
        <v>378790</v>
      </c>
      <c r="R30" s="17">
        <v>401650</v>
      </c>
      <c r="S30" s="17">
        <v>339030</v>
      </c>
      <c r="T30" s="17">
        <v>337970</v>
      </c>
      <c r="U30" s="17">
        <v>340160</v>
      </c>
      <c r="V30" s="17">
        <v>326120</v>
      </c>
      <c r="W30" s="17">
        <v>357400</v>
      </c>
      <c r="X30" s="115">
        <v>295360</v>
      </c>
      <c r="Y30" s="84">
        <f>SUM(TB_Calicut[[#This Row],[Apr]:[Mar]])</f>
        <v>4072887</v>
      </c>
      <c r="Z30" s="90">
        <v>4072887</v>
      </c>
      <c r="AA30" s="155">
        <v>332000</v>
      </c>
      <c r="AB30" s="47">
        <f>IFERROR(_xlfn.XLOOKUP(TB_Calicut[[#This Row],[Description]],[3]trialbalancePDS.rpt!$J$1:$J$65536,[3]trialbalancePDS.rpt!$I$1:$I$65536,0),0)</f>
        <v>295530</v>
      </c>
      <c r="AC30" s="46"/>
    </row>
    <row r="31" spans="2:31" x14ac:dyDescent="0.3">
      <c r="B31" s="5" t="s">
        <v>125</v>
      </c>
      <c r="C31" s="5" t="s">
        <v>2</v>
      </c>
      <c r="D31" s="5" t="s">
        <v>198</v>
      </c>
      <c r="E31" s="5" t="s">
        <v>25</v>
      </c>
      <c r="F31" s="5" t="s">
        <v>42</v>
      </c>
      <c r="G31" s="5" t="s">
        <v>52</v>
      </c>
      <c r="H31" s="5" t="s">
        <v>52</v>
      </c>
      <c r="I31" s="5" t="s">
        <v>512</v>
      </c>
      <c r="J31" s="5" t="s">
        <v>534</v>
      </c>
      <c r="K31" s="5" t="s">
        <v>286</v>
      </c>
      <c r="L31" s="5">
        <f>_xlfn.XLOOKUP(TB_Calicut[[#This Row],[MIS_Group1]],PL_Consol!B:B,PL_Consol!C:C)</f>
        <v>16</v>
      </c>
      <c r="M31" s="17">
        <v>89366</v>
      </c>
      <c r="N31" s="17">
        <v>88394</v>
      </c>
      <c r="O31" s="17">
        <v>74741</v>
      </c>
      <c r="P31" s="17">
        <v>81890</v>
      </c>
      <c r="Q31" s="17">
        <v>86080</v>
      </c>
      <c r="R31" s="17">
        <v>88900.6</v>
      </c>
      <c r="S31" s="17">
        <v>88900.6</v>
      </c>
      <c r="T31" s="17">
        <v>88900.6</v>
      </c>
      <c r="U31" s="17">
        <v>88900.6</v>
      </c>
      <c r="V31" s="17">
        <v>89166</v>
      </c>
      <c r="W31" s="17">
        <v>89680</v>
      </c>
      <c r="X31" s="17">
        <v>158997.1</v>
      </c>
      <c r="Y31" s="84">
        <f>SUM(TB_Calicut[[#This Row],[Apr]:[Mar]])</f>
        <v>1113916.5</v>
      </c>
      <c r="Z31" s="90">
        <v>1128109.7</v>
      </c>
      <c r="AA31" s="46">
        <v>61436</v>
      </c>
      <c r="AB31" s="47">
        <f>IFERROR(_xlfn.XLOOKUP(TB_Calicut[[#This Row],[Description]],[3]trialbalancePDS.rpt!$J$1:$J$65536,[3]trialbalancePDS.rpt!$I$1:$I$65536,0),0)</f>
        <v>79835</v>
      </c>
      <c r="AC31" s="46"/>
    </row>
    <row r="32" spans="2:31" x14ac:dyDescent="0.3">
      <c r="B32" s="5" t="s">
        <v>126</v>
      </c>
      <c r="C32" s="5" t="s">
        <v>2</v>
      </c>
      <c r="D32" s="5" t="s">
        <v>198</v>
      </c>
      <c r="E32" s="5" t="s">
        <v>25</v>
      </c>
      <c r="F32" s="5" t="s">
        <v>42</v>
      </c>
      <c r="G32" s="5" t="s">
        <v>52</v>
      </c>
      <c r="H32" s="5" t="s">
        <v>52</v>
      </c>
      <c r="I32" s="5" t="s">
        <v>512</v>
      </c>
      <c r="J32" s="5" t="s">
        <v>534</v>
      </c>
      <c r="K32" s="5" t="s">
        <v>287</v>
      </c>
      <c r="L32" s="5">
        <f>_xlfn.XLOOKUP(TB_Calicut[[#This Row],[MIS_Group1]],PL_Consol!B:B,PL_Consol!C:C)</f>
        <v>16</v>
      </c>
      <c r="M32" s="17">
        <v>0</v>
      </c>
      <c r="N32" s="17">
        <v>7215</v>
      </c>
      <c r="O32" s="17">
        <v>7275</v>
      </c>
      <c r="P32" s="17">
        <v>14090</v>
      </c>
      <c r="Q32" s="17">
        <v>7755</v>
      </c>
      <c r="R32" s="17">
        <v>9015</v>
      </c>
      <c r="S32" s="17">
        <v>8550</v>
      </c>
      <c r="T32" s="17">
        <v>0</v>
      </c>
      <c r="U32" s="17">
        <v>0</v>
      </c>
      <c r="V32" s="17">
        <v>41609</v>
      </c>
      <c r="W32" s="17">
        <v>11990</v>
      </c>
      <c r="X32" s="17">
        <v>9189</v>
      </c>
      <c r="Y32" s="84">
        <f>SUM(TB_Calicut[[#This Row],[Apr]:[Mar]])</f>
        <v>116688</v>
      </c>
      <c r="Z32" s="90">
        <v>116688</v>
      </c>
      <c r="AA32" s="46">
        <v>12034</v>
      </c>
      <c r="AB32" s="47">
        <f>IFERROR(_xlfn.XLOOKUP(TB_Calicut[[#This Row],[Description]],[3]trialbalancePDS.rpt!$J$1:$J$65536,[3]trialbalancePDS.rpt!$I$1:$I$65536,0),0)</f>
        <v>12562</v>
      </c>
      <c r="AC32" s="46"/>
    </row>
    <row r="33" spans="2:32" x14ac:dyDescent="0.3">
      <c r="B33" s="5" t="s">
        <v>127</v>
      </c>
      <c r="C33" s="5" t="s">
        <v>2</v>
      </c>
      <c r="D33" s="5" t="s">
        <v>198</v>
      </c>
      <c r="E33" s="5" t="s">
        <v>25</v>
      </c>
      <c r="F33" s="5" t="s">
        <v>42</v>
      </c>
      <c r="G33" s="5" t="s">
        <v>52</v>
      </c>
      <c r="H33" s="5" t="s">
        <v>52</v>
      </c>
      <c r="I33" s="5" t="s">
        <v>512</v>
      </c>
      <c r="J33" s="5" t="s">
        <v>534</v>
      </c>
      <c r="K33" s="5" t="s">
        <v>286</v>
      </c>
      <c r="L33" s="5">
        <f>_xlfn.XLOOKUP(TB_Calicut[[#This Row],[MIS_Group1]],PL_Consol!B:B,PL_Consol!C:C)</f>
        <v>16</v>
      </c>
      <c r="M33" s="17">
        <v>0</v>
      </c>
      <c r="N33" s="17">
        <v>3213</v>
      </c>
      <c r="O33" s="17">
        <v>4058</v>
      </c>
      <c r="P33" s="17">
        <v>19190</v>
      </c>
      <c r="Q33" s="17">
        <v>18792.240000000002</v>
      </c>
      <c r="R33" s="17">
        <v>1168</v>
      </c>
      <c r="S33" s="17">
        <v>4323</v>
      </c>
      <c r="T33" s="17">
        <v>10484</v>
      </c>
      <c r="U33" s="17">
        <v>9809</v>
      </c>
      <c r="V33" s="17">
        <v>19081</v>
      </c>
      <c r="W33" s="17">
        <v>7909</v>
      </c>
      <c r="X33" s="17">
        <v>2113</v>
      </c>
      <c r="Y33" s="84">
        <f>SUM(TB_Calicut[[#This Row],[Apr]:[Mar]])</f>
        <v>100140.24</v>
      </c>
      <c r="Z33" s="90">
        <v>100140.24</v>
      </c>
      <c r="AA33" s="46">
        <v>5744</v>
      </c>
      <c r="AB33" s="47">
        <f>IFERROR(_xlfn.XLOOKUP(TB_Calicut[[#This Row],[Description]],[3]trialbalancePDS.rpt!$J$1:$J$65536,[3]trialbalancePDS.rpt!$I$1:$I$65536,0),0)</f>
        <v>7109</v>
      </c>
      <c r="AC33" s="46"/>
    </row>
    <row r="34" spans="2:32" x14ac:dyDescent="0.3">
      <c r="B34" s="5" t="s">
        <v>131</v>
      </c>
      <c r="C34" s="5" t="s">
        <v>2</v>
      </c>
      <c r="D34" s="5" t="s">
        <v>198</v>
      </c>
      <c r="E34" s="5" t="s">
        <v>25</v>
      </c>
      <c r="F34" s="5" t="s">
        <v>42</v>
      </c>
      <c r="G34" s="5" t="s">
        <v>50</v>
      </c>
      <c r="H34" s="5" t="s">
        <v>50</v>
      </c>
      <c r="I34" s="5" t="s">
        <v>512</v>
      </c>
      <c r="J34" s="5" t="s">
        <v>288</v>
      </c>
      <c r="K34" s="5" t="s">
        <v>288</v>
      </c>
      <c r="L34" s="5">
        <f>_xlfn.XLOOKUP(TB_Calicut[[#This Row],[MIS_Group1]],PL_Consol!B:B,PL_Consol!C:C)</f>
        <v>15</v>
      </c>
      <c r="M34" s="17">
        <v>23600</v>
      </c>
      <c r="N34" s="17">
        <v>23600</v>
      </c>
      <c r="O34" s="17">
        <v>23600</v>
      </c>
      <c r="P34" s="17">
        <v>24000</v>
      </c>
      <c r="Q34" s="17">
        <v>28320</v>
      </c>
      <c r="R34" s="17">
        <v>28320</v>
      </c>
      <c r="S34" s="17">
        <v>28320</v>
      </c>
      <c r="T34" s="17">
        <v>28320</v>
      </c>
      <c r="U34" s="17">
        <v>31320</v>
      </c>
      <c r="V34" s="17">
        <v>28320</v>
      </c>
      <c r="W34" s="17">
        <v>28320</v>
      </c>
      <c r="X34" s="17">
        <v>33840</v>
      </c>
      <c r="Y34" s="84">
        <f>SUM(TB_Calicut[[#This Row],[Apr]:[Mar]])</f>
        <v>329880</v>
      </c>
      <c r="Z34" s="90">
        <v>329880</v>
      </c>
      <c r="AA34" s="46">
        <v>28320</v>
      </c>
      <c r="AB34" s="47">
        <f>IFERROR(_xlfn.XLOOKUP(TB_Calicut[[#This Row],[Description]],[3]trialbalancePDS.rpt!$J$1:$J$65536,[3]trialbalancePDS.rpt!$I$1:$I$65536,0),0)</f>
        <v>24000</v>
      </c>
      <c r="AC34" s="46"/>
    </row>
    <row r="35" spans="2:32" x14ac:dyDescent="0.3">
      <c r="B35" s="5" t="s">
        <v>132</v>
      </c>
      <c r="C35" s="5" t="s">
        <v>2</v>
      </c>
      <c r="D35" s="5" t="s">
        <v>198</v>
      </c>
      <c r="E35" s="5" t="s">
        <v>25</v>
      </c>
      <c r="F35" s="5" t="s">
        <v>42</v>
      </c>
      <c r="G35" s="5" t="s">
        <v>49</v>
      </c>
      <c r="H35" s="5" t="s">
        <v>240</v>
      </c>
      <c r="I35" s="5" t="s">
        <v>512</v>
      </c>
      <c r="J35" s="5" t="s">
        <v>289</v>
      </c>
      <c r="K35" s="5" t="s">
        <v>290</v>
      </c>
      <c r="L35" s="5">
        <f>_xlfn.XLOOKUP(TB_Calicut[[#This Row],[MIS_Group1]],PL_Consol!B:B,PL_Consol!C:C)</f>
        <v>12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8305.08</v>
      </c>
      <c r="X35" s="17">
        <v>0</v>
      </c>
      <c r="Y35" s="84">
        <f>SUM(TB_Calicut[[#This Row],[Apr]:[Mar]])</f>
        <v>8305.08</v>
      </c>
      <c r="Z35" s="90">
        <v>8305.08</v>
      </c>
      <c r="AA35" s="46">
        <v>0</v>
      </c>
      <c r="AB35" s="47">
        <f>IFERROR(_xlfn.XLOOKUP(TB_Calicut[[#This Row],[Description]],[3]trialbalancePDS.rpt!$J$1:$J$65536,[3]trialbalancePDS.rpt!$I$1:$I$65536,0),0)</f>
        <v>0</v>
      </c>
      <c r="AC35" s="46"/>
    </row>
    <row r="36" spans="2:32" x14ac:dyDescent="0.3">
      <c r="B36" s="5" t="s">
        <v>136</v>
      </c>
      <c r="C36" s="5" t="s">
        <v>2</v>
      </c>
      <c r="D36" s="5" t="s">
        <v>198</v>
      </c>
      <c r="E36" s="5" t="s">
        <v>25</v>
      </c>
      <c r="F36" s="5" t="s">
        <v>42</v>
      </c>
      <c r="G36" s="5" t="s">
        <v>49</v>
      </c>
      <c r="H36" s="5" t="s">
        <v>241</v>
      </c>
      <c r="I36" s="5" t="s">
        <v>512</v>
      </c>
      <c r="J36" s="5" t="s">
        <v>289</v>
      </c>
      <c r="K36" s="5" t="s">
        <v>291</v>
      </c>
      <c r="L36" s="5">
        <f>_xlfn.XLOOKUP(TB_Calicut[[#This Row],[MIS_Group1]],PL_Consol!B:B,PL_Consol!C:C)</f>
        <v>12</v>
      </c>
      <c r="M36" s="17">
        <v>0</v>
      </c>
      <c r="N36" s="17">
        <v>0</v>
      </c>
      <c r="O36" s="17">
        <v>102307.5</v>
      </c>
      <c r="P36" s="17">
        <v>85000</v>
      </c>
      <c r="Q36" s="17">
        <v>0</v>
      </c>
      <c r="R36" s="17">
        <v>0</v>
      </c>
      <c r="S36" s="17">
        <v>28961</v>
      </c>
      <c r="T36" s="17">
        <v>12873</v>
      </c>
      <c r="U36" s="17">
        <v>12873</v>
      </c>
      <c r="V36" s="17">
        <v>65025.48</v>
      </c>
      <c r="W36" s="17">
        <v>38948</v>
      </c>
      <c r="X36" s="17">
        <v>115873.88</v>
      </c>
      <c r="Y36" s="84">
        <f>SUM(TB_Calicut[[#This Row],[Apr]:[Mar]])</f>
        <v>461861.86</v>
      </c>
      <c r="Z36" s="90">
        <v>461861.86</v>
      </c>
      <c r="AA36" s="46">
        <v>46373.7</v>
      </c>
      <c r="AB36" s="47">
        <f>IFERROR(_xlfn.XLOOKUP(TB_Calicut[[#This Row],[Description]],[3]trialbalancePDS.rpt!$J$1:$J$65536,[3]trialbalancePDS.rpt!$I$1:$I$65536,0),0)</f>
        <v>47050.66</v>
      </c>
      <c r="AC36" s="46"/>
    </row>
    <row r="37" spans="2:32" x14ac:dyDescent="0.3">
      <c r="B37" s="5" t="s">
        <v>144</v>
      </c>
      <c r="C37" s="5" t="s">
        <v>2</v>
      </c>
      <c r="D37" s="5" t="s">
        <v>198</v>
      </c>
      <c r="E37" s="5" t="s">
        <v>25</v>
      </c>
      <c r="F37" s="5" t="s">
        <v>42</v>
      </c>
      <c r="G37" s="5" t="s">
        <v>49</v>
      </c>
      <c r="H37" s="5" t="s">
        <v>243</v>
      </c>
      <c r="I37" s="5" t="s">
        <v>512</v>
      </c>
      <c r="J37" s="5" t="s">
        <v>289</v>
      </c>
      <c r="K37" s="5" t="s">
        <v>292</v>
      </c>
      <c r="L37" s="5">
        <f>_xlfn.XLOOKUP(TB_Calicut[[#This Row],[MIS_Group1]],PL_Consol!B:B,PL_Consol!C:C)</f>
        <v>12</v>
      </c>
      <c r="M37" s="17">
        <v>0</v>
      </c>
      <c r="N37" s="17">
        <v>10705</v>
      </c>
      <c r="O37" s="17">
        <v>25159</v>
      </c>
      <c r="P37" s="17">
        <v>9951</v>
      </c>
      <c r="Q37" s="17">
        <v>6301</v>
      </c>
      <c r="R37" s="17">
        <v>20472</v>
      </c>
      <c r="S37" s="17">
        <v>4928</v>
      </c>
      <c r="T37" s="17">
        <v>124229</v>
      </c>
      <c r="U37" s="17">
        <v>15911</v>
      </c>
      <c r="V37" s="17">
        <v>7128</v>
      </c>
      <c r="W37" s="17">
        <v>10226</v>
      </c>
      <c r="X37" s="17">
        <v>237198</v>
      </c>
      <c r="Y37" s="84">
        <f>SUM(TB_Calicut[[#This Row],[Apr]:[Mar]])</f>
        <v>472208</v>
      </c>
      <c r="Z37" s="90">
        <v>472208</v>
      </c>
      <c r="AA37" s="46">
        <v>265564.61</v>
      </c>
      <c r="AB37" s="47">
        <f>IFERROR(_xlfn.XLOOKUP(TB_Calicut[[#This Row],[Description]],[3]trialbalancePDS.rpt!$J$1:$J$65536,[3]trialbalancePDS.rpt!$I$1:$I$65536,0),0)</f>
        <v>543</v>
      </c>
      <c r="AC37" s="46"/>
    </row>
    <row r="38" spans="2:32" x14ac:dyDescent="0.3">
      <c r="B38" s="5" t="s">
        <v>145</v>
      </c>
      <c r="C38" s="5" t="s">
        <v>2</v>
      </c>
      <c r="D38" s="5" t="s">
        <v>198</v>
      </c>
      <c r="E38" s="5" t="s">
        <v>25</v>
      </c>
      <c r="F38" s="5" t="s">
        <v>42</v>
      </c>
      <c r="G38" s="5" t="s">
        <v>49</v>
      </c>
      <c r="H38" s="5" t="s">
        <v>243</v>
      </c>
      <c r="I38" s="5" t="s">
        <v>512</v>
      </c>
      <c r="J38" s="5" t="s">
        <v>289</v>
      </c>
      <c r="K38" s="5" t="s">
        <v>292</v>
      </c>
      <c r="L38" s="5">
        <f>_xlfn.XLOOKUP(TB_Calicut[[#This Row],[MIS_Group1]],PL_Consol!B:B,PL_Consol!C:C)</f>
        <v>12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84">
        <f>SUM(TB_Calicut[[#This Row],[Apr]:[Mar]])</f>
        <v>0</v>
      </c>
      <c r="Z38" s="90">
        <v>0</v>
      </c>
      <c r="AA38" s="46">
        <v>0</v>
      </c>
      <c r="AB38" s="47">
        <f>IFERROR(_xlfn.XLOOKUP(TB_Calicut[[#This Row],[Description]],[3]trialbalancePDS.rpt!$J$1:$J$65536,[3]trialbalancePDS.rpt!$I$1:$I$65536,0),0)</f>
        <v>0</v>
      </c>
      <c r="AC38" s="46"/>
    </row>
    <row r="39" spans="2:32" x14ac:dyDescent="0.3">
      <c r="B39" s="5" t="s">
        <v>148</v>
      </c>
      <c r="C39" s="5" t="s">
        <v>2</v>
      </c>
      <c r="D39" s="5" t="s">
        <v>198</v>
      </c>
      <c r="E39" s="5" t="s">
        <v>25</v>
      </c>
      <c r="F39" s="5" t="s">
        <v>42</v>
      </c>
      <c r="G39" s="5" t="s">
        <v>48</v>
      </c>
      <c r="H39" s="5" t="s">
        <v>48</v>
      </c>
      <c r="I39" s="5" t="s">
        <v>512</v>
      </c>
      <c r="J39" s="5" t="s">
        <v>207</v>
      </c>
      <c r="K39" s="5" t="s">
        <v>298</v>
      </c>
      <c r="L39" s="5">
        <f>_xlfn.XLOOKUP(TB_Calicut[[#This Row],[MIS_Group1]],PL_Consol!B:B,PL_Consol!C:C)</f>
        <v>19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2950</v>
      </c>
      <c r="U39" s="17">
        <v>0</v>
      </c>
      <c r="V39" s="17">
        <v>0</v>
      </c>
      <c r="W39" s="17">
        <v>0</v>
      </c>
      <c r="X39" s="17">
        <v>0</v>
      </c>
      <c r="Y39" s="84">
        <f>SUM(TB_Calicut[[#This Row],[Apr]:[Mar]])</f>
        <v>2950</v>
      </c>
      <c r="Z39" s="90">
        <v>2950</v>
      </c>
      <c r="AA39" s="46">
        <v>0</v>
      </c>
      <c r="AB39" s="47">
        <f>IFERROR(_xlfn.XLOOKUP(TB_Calicut[[#This Row],[Description]],[3]trialbalancePDS.rpt!$J$1:$J$65536,[3]trialbalancePDS.rpt!$I$1:$I$65536,0),0)</f>
        <v>0</v>
      </c>
      <c r="AC39" s="46"/>
    </row>
    <row r="40" spans="2:32" x14ac:dyDescent="0.3">
      <c r="B40" s="5" t="s">
        <v>149</v>
      </c>
      <c r="C40" s="5" t="s">
        <v>2</v>
      </c>
      <c r="D40" s="5" t="s">
        <v>198</v>
      </c>
      <c r="E40" s="5" t="s">
        <v>25</v>
      </c>
      <c r="F40" s="5" t="s">
        <v>42</v>
      </c>
      <c r="G40" s="5" t="s">
        <v>48</v>
      </c>
      <c r="H40" s="5" t="s">
        <v>48</v>
      </c>
      <c r="I40" s="5" t="s">
        <v>512</v>
      </c>
      <c r="J40" s="5" t="s">
        <v>207</v>
      </c>
      <c r="K40" s="5" t="s">
        <v>299</v>
      </c>
      <c r="L40" s="5">
        <f>_xlfn.XLOOKUP(TB_Calicut[[#This Row],[MIS_Group1]],PL_Consol!B:B,PL_Consol!C:C)</f>
        <v>19</v>
      </c>
      <c r="M40" s="17">
        <v>14727</v>
      </c>
      <c r="N40" s="17">
        <v>0</v>
      </c>
      <c r="O40" s="17">
        <v>0</v>
      </c>
      <c r="P40" s="17">
        <v>0</v>
      </c>
      <c r="Q40" s="17">
        <v>0</v>
      </c>
      <c r="R40" s="17">
        <v>71412</v>
      </c>
      <c r="S40" s="17">
        <v>0</v>
      </c>
      <c r="T40" s="17">
        <v>0</v>
      </c>
      <c r="U40" s="17">
        <v>0</v>
      </c>
      <c r="V40" s="17">
        <v>-41657</v>
      </c>
      <c r="W40" s="17">
        <v>5959</v>
      </c>
      <c r="X40" s="17">
        <v>5951</v>
      </c>
      <c r="Y40" s="84">
        <f>SUM(TB_Calicut[[#This Row],[Apr]:[Mar]])</f>
        <v>56392</v>
      </c>
      <c r="Z40" s="90">
        <v>56392</v>
      </c>
      <c r="AA40" s="46">
        <v>5951</v>
      </c>
      <c r="AB40" s="47">
        <f>IFERROR(_xlfn.XLOOKUP(TB_Calicut[[#This Row],[Description]],[3]trialbalancePDS.rpt!$J$1:$J$65536,[3]trialbalancePDS.rpt!$I$1:$I$65536,0),0)</f>
        <v>5951</v>
      </c>
      <c r="AC40" s="46"/>
    </row>
    <row r="41" spans="2:32" x14ac:dyDescent="0.3">
      <c r="B41" s="5" t="s">
        <v>150</v>
      </c>
      <c r="C41" s="5" t="s">
        <v>2</v>
      </c>
      <c r="D41" s="5" t="s">
        <v>198</v>
      </c>
      <c r="E41" s="5" t="s">
        <v>25</v>
      </c>
      <c r="F41" s="5" t="s">
        <v>42</v>
      </c>
      <c r="G41" s="5" t="s">
        <v>48</v>
      </c>
      <c r="H41" s="5" t="s">
        <v>48</v>
      </c>
      <c r="I41" s="5" t="s">
        <v>512</v>
      </c>
      <c r="J41" s="5" t="s">
        <v>207</v>
      </c>
      <c r="K41" s="5" t="s">
        <v>300</v>
      </c>
      <c r="L41" s="5">
        <f>_xlfn.XLOOKUP(TB_Calicut[[#This Row],[MIS_Group1]],PL_Consol!B:B,PL_Consol!C:C)</f>
        <v>19</v>
      </c>
      <c r="M41" s="17">
        <v>0</v>
      </c>
      <c r="N41" s="17">
        <v>0</v>
      </c>
      <c r="O41" s="17">
        <v>15669</v>
      </c>
      <c r="P41" s="17">
        <v>0</v>
      </c>
      <c r="Q41" s="17">
        <v>0</v>
      </c>
      <c r="R41" s="17">
        <v>6058</v>
      </c>
      <c r="S41" s="17">
        <v>2019.33</v>
      </c>
      <c r="T41" s="17">
        <v>0</v>
      </c>
      <c r="U41" s="17">
        <v>2019.33</v>
      </c>
      <c r="V41" s="17">
        <v>2019.33</v>
      </c>
      <c r="W41" s="17">
        <v>2019.33</v>
      </c>
      <c r="X41" s="17">
        <v>2271.33</v>
      </c>
      <c r="Y41" s="84">
        <f>SUM(TB_Calicut[[#This Row],[Apr]:[Mar]])</f>
        <v>32075.650000000009</v>
      </c>
      <c r="Z41" s="90">
        <v>32075.65</v>
      </c>
      <c r="AA41" s="46">
        <v>1500</v>
      </c>
      <c r="AB41" s="47">
        <f>IFERROR(_xlfn.XLOOKUP(TB_Calicut[[#This Row],[Description]],[3]trialbalancePDS.rpt!$J$1:$J$65536,[3]trialbalancePDS.rpt!$I$1:$I$65536,0),0)</f>
        <v>1561</v>
      </c>
      <c r="AC41" s="46"/>
    </row>
    <row r="42" spans="2:32" x14ac:dyDescent="0.3">
      <c r="B42" s="5" t="s">
        <v>152</v>
      </c>
      <c r="C42" s="5" t="s">
        <v>2</v>
      </c>
      <c r="D42" s="5" t="s">
        <v>198</v>
      </c>
      <c r="E42" s="5" t="s">
        <v>25</v>
      </c>
      <c r="F42" s="5" t="s">
        <v>42</v>
      </c>
      <c r="G42" s="5" t="s">
        <v>47</v>
      </c>
      <c r="H42" s="5" t="s">
        <v>47</v>
      </c>
      <c r="I42" s="5" t="s">
        <v>512</v>
      </c>
      <c r="J42" s="5" t="s">
        <v>301</v>
      </c>
      <c r="K42" s="5" t="s">
        <v>502</v>
      </c>
      <c r="L42" s="5">
        <f>_xlfn.XLOOKUP(TB_Calicut[[#This Row],[MIS_Group1]],PL_Consol!B:B,PL_Consol!C:C)</f>
        <v>20</v>
      </c>
      <c r="M42" s="17">
        <v>0</v>
      </c>
      <c r="N42" s="17">
        <v>0</v>
      </c>
      <c r="O42" s="17">
        <v>5928.75</v>
      </c>
      <c r="P42" s="17">
        <v>0</v>
      </c>
      <c r="Q42" s="17">
        <v>0</v>
      </c>
      <c r="R42" s="17">
        <v>5928.75</v>
      </c>
      <c r="S42" s="17">
        <v>1976.25</v>
      </c>
      <c r="T42" s="17">
        <v>1976.25</v>
      </c>
      <c r="U42" s="17">
        <v>1976.25</v>
      </c>
      <c r="V42" s="17">
        <v>1976.25</v>
      </c>
      <c r="W42" s="17">
        <v>1976.25</v>
      </c>
      <c r="X42" s="17">
        <v>1976.25</v>
      </c>
      <c r="Y42" s="84">
        <f>SUM(TB_Calicut[[#This Row],[Apr]:[Mar]])</f>
        <v>23715</v>
      </c>
      <c r="Z42" s="90">
        <v>23715</v>
      </c>
      <c r="AA42" s="46">
        <v>1976.25</v>
      </c>
      <c r="AB42" s="47">
        <f>IFERROR(_xlfn.XLOOKUP(TB_Calicut[[#This Row],[Description]],[3]trialbalancePDS.rpt!$J$1:$J$65536,[3]trialbalancePDS.rpt!$I$1:$I$65536,0),0)</f>
        <v>1976.25</v>
      </c>
      <c r="AC42" s="46"/>
    </row>
    <row r="43" spans="2:32" x14ac:dyDescent="0.3">
      <c r="B43" s="5" t="s">
        <v>153</v>
      </c>
      <c r="C43" s="5" t="s">
        <v>2</v>
      </c>
      <c r="D43" s="5" t="s">
        <v>198</v>
      </c>
      <c r="E43" s="5" t="s">
        <v>25</v>
      </c>
      <c r="F43" s="5" t="s">
        <v>42</v>
      </c>
      <c r="G43" s="5" t="s">
        <v>47</v>
      </c>
      <c r="H43" s="5" t="s">
        <v>47</v>
      </c>
      <c r="I43" s="5" t="s">
        <v>512</v>
      </c>
      <c r="J43" s="5" t="s">
        <v>301</v>
      </c>
      <c r="K43" s="5" t="s">
        <v>301</v>
      </c>
      <c r="L43" s="5">
        <f>_xlfn.XLOOKUP(TB_Calicut[[#This Row],[MIS_Group1]],PL_Consol!B:B,PL_Consol!C:C)</f>
        <v>20</v>
      </c>
      <c r="M43" s="17">
        <v>6480</v>
      </c>
      <c r="N43" s="17">
        <v>323</v>
      </c>
      <c r="O43" s="17">
        <v>0</v>
      </c>
      <c r="P43" s="17">
        <v>0</v>
      </c>
      <c r="Q43" s="17">
        <v>200</v>
      </c>
      <c r="R43" s="17">
        <v>0</v>
      </c>
      <c r="S43" s="17">
        <v>0</v>
      </c>
      <c r="T43" s="17">
        <v>0</v>
      </c>
      <c r="U43" s="17">
        <v>0</v>
      </c>
      <c r="V43" s="17">
        <v>100</v>
      </c>
      <c r="W43" s="17">
        <v>0</v>
      </c>
      <c r="X43" s="17">
        <v>5750</v>
      </c>
      <c r="Y43" s="84">
        <f>SUM(TB_Calicut[[#This Row],[Apr]:[Mar]])</f>
        <v>12853</v>
      </c>
      <c r="Z43" s="90">
        <v>12853</v>
      </c>
      <c r="AA43" s="46">
        <v>22500</v>
      </c>
      <c r="AB43" s="47">
        <f>IFERROR(_xlfn.XLOOKUP(TB_Calicut[[#This Row],[Description]],[3]trialbalancePDS.rpt!$J$1:$J$65536,[3]trialbalancePDS.rpt!$I$1:$I$65536,0),0)</f>
        <v>800</v>
      </c>
      <c r="AC43" s="46"/>
    </row>
    <row r="44" spans="2:32" x14ac:dyDescent="0.3">
      <c r="B44" s="5" t="s">
        <v>166</v>
      </c>
      <c r="C44" s="5" t="s">
        <v>2</v>
      </c>
      <c r="D44" s="5" t="s">
        <v>198</v>
      </c>
      <c r="E44" s="5" t="s">
        <v>25</v>
      </c>
      <c r="F44" s="5" t="s">
        <v>42</v>
      </c>
      <c r="G44" s="5" t="s">
        <v>43</v>
      </c>
      <c r="H44" s="5" t="s">
        <v>43</v>
      </c>
      <c r="I44" s="5" t="s">
        <v>512</v>
      </c>
      <c r="J44" s="5" t="s">
        <v>270</v>
      </c>
      <c r="K44" s="5" t="s">
        <v>271</v>
      </c>
      <c r="L44" s="5">
        <f>_xlfn.XLOOKUP(TB_Calicut[[#This Row],[MIS_Group1]],PL_Consol!B:B,PL_Consol!C:C)</f>
        <v>26</v>
      </c>
      <c r="M44" s="17">
        <v>-37.32</v>
      </c>
      <c r="N44" s="17">
        <v>-19.04</v>
      </c>
      <c r="O44" s="17">
        <v>-25.33</v>
      </c>
      <c r="P44" s="17">
        <v>-36.07</v>
      </c>
      <c r="Q44" s="17">
        <v>-36.94</v>
      </c>
      <c r="R44" s="17">
        <v>-18.82</v>
      </c>
      <c r="S44" s="17">
        <v>-39.76</v>
      </c>
      <c r="T44" s="17">
        <v>6.55</v>
      </c>
      <c r="U44" s="17">
        <v>-15.78</v>
      </c>
      <c r="V44" s="17">
        <v>2.3500000000000014</v>
      </c>
      <c r="W44" s="17">
        <v>18.799999999999997</v>
      </c>
      <c r="X44" s="17">
        <v>46.52000000000001</v>
      </c>
      <c r="Y44" s="84">
        <v>-158.28</v>
      </c>
      <c r="Z44" s="90">
        <v>-158.28</v>
      </c>
      <c r="AA44" s="46">
        <v>-59.080000000000005</v>
      </c>
      <c r="AB44" s="47">
        <f>IFERROR(_xlfn.XLOOKUP(TB_Calicut[[#This Row],[Description]],[3]trialbalancePDS.rpt!$J$1:$J$65536,[3]trialbalancePDS.rpt!$I$1:$I$65536,0),0)</f>
        <v>-21.989999999999995</v>
      </c>
      <c r="AC44" s="46"/>
      <c r="AF44" s="24"/>
    </row>
    <row r="45" spans="2:32" x14ac:dyDescent="0.3">
      <c r="B45" s="5" t="s">
        <v>168</v>
      </c>
      <c r="C45" s="5" t="s">
        <v>2</v>
      </c>
      <c r="D45" s="5" t="s">
        <v>198</v>
      </c>
      <c r="E45" s="5" t="s">
        <v>25</v>
      </c>
      <c r="F45" s="5" t="s">
        <v>42</v>
      </c>
      <c r="G45" s="5" t="s">
        <v>43</v>
      </c>
      <c r="H45" s="5" t="s">
        <v>43</v>
      </c>
      <c r="I45" s="5" t="s">
        <v>512</v>
      </c>
      <c r="J45" s="5" t="s">
        <v>270</v>
      </c>
      <c r="K45" s="5" t="s">
        <v>309</v>
      </c>
      <c r="L45" s="5">
        <f>_xlfn.XLOOKUP(TB_Calicut[[#This Row],[MIS_Group1]],PL_Consol!B:B,PL_Consol!C:C)</f>
        <v>26</v>
      </c>
      <c r="M45" s="17">
        <v>0</v>
      </c>
      <c r="N45" s="17">
        <v>0</v>
      </c>
      <c r="O45" s="17">
        <v>0</v>
      </c>
      <c r="P45" s="17">
        <v>0</v>
      </c>
      <c r="Q45" s="17">
        <v>1020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84">
        <f>SUM(TB_Calicut[[#This Row],[Apr]:[Mar]])</f>
        <v>1020</v>
      </c>
      <c r="Z45" s="90">
        <v>1020</v>
      </c>
      <c r="AA45" s="46">
        <v>0</v>
      </c>
      <c r="AB45" s="47">
        <f>IFERROR(_xlfn.XLOOKUP(TB_Calicut[[#This Row],[Description]],[3]trialbalancePDS.rpt!$J$1:$J$65536,[3]trialbalancePDS.rpt!$I$1:$I$65536,0),0)</f>
        <v>0</v>
      </c>
      <c r="AC45" s="46"/>
    </row>
    <row r="46" spans="2:32" x14ac:dyDescent="0.3">
      <c r="B46" s="5" t="s">
        <v>169</v>
      </c>
      <c r="C46" s="5" t="s">
        <v>2</v>
      </c>
      <c r="D46" s="5" t="s">
        <v>198</v>
      </c>
      <c r="E46" s="5" t="s">
        <v>25</v>
      </c>
      <c r="F46" s="5" t="s">
        <v>42</v>
      </c>
      <c r="G46" s="5" t="s">
        <v>43</v>
      </c>
      <c r="H46" s="5" t="s">
        <v>43</v>
      </c>
      <c r="I46" s="5" t="s">
        <v>512</v>
      </c>
      <c r="J46" s="5" t="s">
        <v>270</v>
      </c>
      <c r="K46" s="5" t="s">
        <v>305</v>
      </c>
      <c r="L46" s="5">
        <f>_xlfn.XLOOKUP(TB_Calicut[[#This Row],[MIS_Group1]],PL_Consol!B:B,PL_Consol!C:C)</f>
        <v>26</v>
      </c>
      <c r="M46" s="17">
        <v>0</v>
      </c>
      <c r="N46" s="17">
        <v>5900</v>
      </c>
      <c r="O46" s="17">
        <v>0</v>
      </c>
      <c r="P46" s="17">
        <v>7470</v>
      </c>
      <c r="Q46" s="17">
        <v>1020</v>
      </c>
      <c r="R46" s="17">
        <v>5900</v>
      </c>
      <c r="S46" s="17">
        <v>290</v>
      </c>
      <c r="T46" s="17">
        <v>760</v>
      </c>
      <c r="U46" s="17">
        <v>1050</v>
      </c>
      <c r="V46" s="17">
        <v>0</v>
      </c>
      <c r="W46" s="17">
        <v>655</v>
      </c>
      <c r="X46" s="17">
        <v>870</v>
      </c>
      <c r="Y46" s="84">
        <f>SUM(TB_Calicut[[#This Row],[Apr]:[Mar]])</f>
        <v>23915</v>
      </c>
      <c r="Z46" s="90">
        <v>23915</v>
      </c>
      <c r="AA46" s="46">
        <v>0</v>
      </c>
      <c r="AB46" s="47">
        <f>IFERROR(_xlfn.XLOOKUP(TB_Calicut[[#This Row],[Description]],[3]trialbalancePDS.rpt!$J$1:$J$65536,[3]trialbalancePDS.rpt!$I$1:$I$65536,0),0)</f>
        <v>320</v>
      </c>
      <c r="AC46" s="46"/>
    </row>
    <row r="47" spans="2:32" x14ac:dyDescent="0.3">
      <c r="B47" s="5" t="s">
        <v>28</v>
      </c>
      <c r="C47" s="5" t="s">
        <v>2</v>
      </c>
      <c r="D47" s="5" t="s">
        <v>198</v>
      </c>
      <c r="E47" s="5" t="s">
        <v>25</v>
      </c>
      <c r="F47" s="5" t="s">
        <v>42</v>
      </c>
      <c r="G47" s="5" t="s">
        <v>27</v>
      </c>
      <c r="H47" s="5" t="s">
        <v>28</v>
      </c>
      <c r="I47" s="5" t="s">
        <v>512</v>
      </c>
      <c r="J47" s="5" t="s">
        <v>310</v>
      </c>
      <c r="K47" s="5" t="s">
        <v>310</v>
      </c>
      <c r="L47" s="5">
        <f>_xlfn.XLOOKUP(TB_Calicut[[#This Row],[MIS_Group1]],PL_Consol!B:B,PL_Consol!C:C)</f>
        <v>18</v>
      </c>
      <c r="M47" s="17">
        <v>0</v>
      </c>
      <c r="N47" s="17">
        <v>9533</v>
      </c>
      <c r="O47" s="17">
        <v>4350</v>
      </c>
      <c r="P47" s="17">
        <v>25163</v>
      </c>
      <c r="Q47" s="17">
        <v>12301</v>
      </c>
      <c r="R47" s="17">
        <v>0</v>
      </c>
      <c r="S47" s="17">
        <v>44728</v>
      </c>
      <c r="T47" s="17">
        <v>6374</v>
      </c>
      <c r="U47" s="17">
        <v>7369</v>
      </c>
      <c r="V47" s="17">
        <v>20561</v>
      </c>
      <c r="W47" s="17">
        <v>57473.65</v>
      </c>
      <c r="X47" s="17">
        <v>8460</v>
      </c>
      <c r="Y47" s="84">
        <f>SUM(TB_Calicut[[#This Row],[Apr]:[Mar]])</f>
        <v>196312.65</v>
      </c>
      <c r="Z47" s="90">
        <v>196312.65</v>
      </c>
      <c r="AA47" s="46">
        <v>0</v>
      </c>
      <c r="AB47" s="47">
        <f>IFERROR(_xlfn.XLOOKUP(TB_Calicut[[#This Row],[Description]],[3]trialbalancePDS.rpt!$J$1:$J$65536,[3]trialbalancePDS.rpt!$I$1:$I$65536,0),0)</f>
        <v>6330</v>
      </c>
      <c r="AC47" s="46"/>
    </row>
    <row r="48" spans="2:32" x14ac:dyDescent="0.3">
      <c r="B48" s="5" t="s">
        <v>31</v>
      </c>
      <c r="C48" s="5" t="s">
        <v>2</v>
      </c>
      <c r="D48" s="5" t="s">
        <v>198</v>
      </c>
      <c r="E48" s="5" t="s">
        <v>25</v>
      </c>
      <c r="F48" s="5" t="s">
        <v>42</v>
      </c>
      <c r="G48" s="5" t="s">
        <v>27</v>
      </c>
      <c r="H48" s="5" t="s">
        <v>31</v>
      </c>
      <c r="I48" s="5" t="s">
        <v>512</v>
      </c>
      <c r="J48" s="5" t="s">
        <v>317</v>
      </c>
      <c r="K48" s="5" t="s">
        <v>318</v>
      </c>
      <c r="L48" s="5">
        <f>_xlfn.XLOOKUP(TB_Calicut[[#This Row],[MIS_Group1]],PL_Consol!B:B,PL_Consol!C:C)</f>
        <v>24</v>
      </c>
      <c r="M48" s="17">
        <v>0</v>
      </c>
      <c r="N48" s="17">
        <v>0</v>
      </c>
      <c r="O48" s="17">
        <v>0</v>
      </c>
      <c r="P48" s="17">
        <v>890</v>
      </c>
      <c r="Q48" s="17">
        <v>910</v>
      </c>
      <c r="R48" s="17">
        <v>0</v>
      </c>
      <c r="S48" s="17">
        <v>330</v>
      </c>
      <c r="T48" s="17">
        <v>670</v>
      </c>
      <c r="U48" s="17">
        <v>1000</v>
      </c>
      <c r="V48" s="17">
        <v>160</v>
      </c>
      <c r="W48" s="17">
        <v>580</v>
      </c>
      <c r="X48" s="17">
        <v>1270</v>
      </c>
      <c r="Y48" s="84">
        <f>SUM(TB_Calicut[[#This Row],[Apr]:[Mar]])</f>
        <v>5810</v>
      </c>
      <c r="Z48" s="90">
        <v>5810</v>
      </c>
      <c r="AA48" s="46">
        <v>0</v>
      </c>
      <c r="AB48" s="47">
        <f>IFERROR(_xlfn.XLOOKUP(TB_Calicut[[#This Row],[Description]],[3]trialbalancePDS.rpt!$J$1:$J$65536,[3]trialbalancePDS.rpt!$I$1:$I$65536,0),0)</f>
        <v>300</v>
      </c>
      <c r="AC48" s="46"/>
    </row>
    <row r="49" spans="2:29" x14ac:dyDescent="0.3">
      <c r="B49" s="5" t="s">
        <v>32</v>
      </c>
      <c r="C49" s="5" t="s">
        <v>2</v>
      </c>
      <c r="D49" s="5" t="s">
        <v>198</v>
      </c>
      <c r="E49" s="5" t="s">
        <v>25</v>
      </c>
      <c r="F49" s="5" t="s">
        <v>42</v>
      </c>
      <c r="G49" s="5" t="s">
        <v>27</v>
      </c>
      <c r="H49" s="5" t="s">
        <v>32</v>
      </c>
      <c r="I49" s="5" t="s">
        <v>512</v>
      </c>
      <c r="J49" s="5" t="s">
        <v>302</v>
      </c>
      <c r="K49" s="5" t="s">
        <v>319</v>
      </c>
      <c r="L49" s="5">
        <f>_xlfn.XLOOKUP(TB_Calicut[[#This Row],[MIS_Group1]],PL_Consol!B:B,PL_Consol!C:C)</f>
        <v>21</v>
      </c>
      <c r="M49" s="17">
        <v>0</v>
      </c>
      <c r="N49" s="17">
        <v>0</v>
      </c>
      <c r="O49" s="17">
        <v>0</v>
      </c>
      <c r="P49" s="17">
        <v>0</v>
      </c>
      <c r="Q49" s="17">
        <v>2450</v>
      </c>
      <c r="R49" s="17">
        <v>0</v>
      </c>
      <c r="S49" s="17">
        <v>20000</v>
      </c>
      <c r="T49" s="17">
        <v>24650</v>
      </c>
      <c r="U49" s="17">
        <v>0</v>
      </c>
      <c r="V49" s="17">
        <v>4800</v>
      </c>
      <c r="W49" s="17">
        <v>40000</v>
      </c>
      <c r="X49" s="17">
        <v>0</v>
      </c>
      <c r="Y49" s="84">
        <f>SUM(TB_Calicut[[#This Row],[Apr]:[Mar]])</f>
        <v>91900</v>
      </c>
      <c r="Z49" s="90">
        <v>91900</v>
      </c>
      <c r="AA49" s="46">
        <v>20000</v>
      </c>
      <c r="AB49" s="47">
        <f>IFERROR(_xlfn.XLOOKUP(TB_Calicut[[#This Row],[Description]],[3]trialbalancePDS.rpt!$J$1:$J$65536,[3]trialbalancePDS.rpt!$I$1:$I$65536,0),0)</f>
        <v>0</v>
      </c>
      <c r="AC49" s="46"/>
    </row>
    <row r="50" spans="2:29" x14ac:dyDescent="0.3">
      <c r="B50" s="5" t="s">
        <v>34</v>
      </c>
      <c r="C50" s="5" t="s">
        <v>2</v>
      </c>
      <c r="D50" s="5" t="s">
        <v>198</v>
      </c>
      <c r="E50" s="5" t="s">
        <v>25</v>
      </c>
      <c r="F50" s="5" t="s">
        <v>42</v>
      </c>
      <c r="G50" s="5" t="s">
        <v>27</v>
      </c>
      <c r="H50" s="5" t="s">
        <v>34</v>
      </c>
      <c r="I50" s="5" t="s">
        <v>512</v>
      </c>
      <c r="J50" s="5" t="s">
        <v>535</v>
      </c>
      <c r="K50" s="5" t="s">
        <v>321</v>
      </c>
      <c r="L50" s="5">
        <f>_xlfn.XLOOKUP(TB_Calicut[[#This Row],[MIS_Group1]],PL_Consol!B:B,PL_Consol!C:C)</f>
        <v>17</v>
      </c>
      <c r="M50" s="17">
        <v>36256</v>
      </c>
      <c r="N50" s="17">
        <v>36256</v>
      </c>
      <c r="O50" s="17">
        <v>36256</v>
      </c>
      <c r="P50" s="17">
        <v>36256</v>
      </c>
      <c r="Q50" s="17">
        <v>20467</v>
      </c>
      <c r="R50" s="17">
        <v>36256.199999999997</v>
      </c>
      <c r="S50" s="17">
        <v>36256.199999999997</v>
      </c>
      <c r="T50" s="17">
        <v>36256.199999999997</v>
      </c>
      <c r="U50" s="17">
        <v>36256</v>
      </c>
      <c r="V50" s="17">
        <v>36256</v>
      </c>
      <c r="W50" s="17">
        <v>36256</v>
      </c>
      <c r="X50" s="17">
        <v>66044.100000000006</v>
      </c>
      <c r="Y50" s="84">
        <f>SUM(TB_Calicut[[#This Row],[Apr]:[Mar]])</f>
        <v>449071.70000000007</v>
      </c>
      <c r="Z50" s="90">
        <v>447559.04</v>
      </c>
      <c r="AA50" s="46">
        <v>61204</v>
      </c>
      <c r="AB50" s="47">
        <f>IFERROR(_xlfn.XLOOKUP(TB_Calicut[[#This Row],[Description]],[3]trialbalancePDS.rpt!$J$1:$J$65536,[3]trialbalancePDS.rpt!$I$1:$I$65536,0),0)</f>
        <v>36256</v>
      </c>
      <c r="AC50" s="46"/>
    </row>
    <row r="51" spans="2:29" x14ac:dyDescent="0.3">
      <c r="B51" s="5" t="s">
        <v>35</v>
      </c>
      <c r="C51" s="5" t="s">
        <v>2</v>
      </c>
      <c r="D51" s="5" t="s">
        <v>198</v>
      </c>
      <c r="E51" s="5" t="s">
        <v>25</v>
      </c>
      <c r="F51" s="5" t="s">
        <v>42</v>
      </c>
      <c r="G51" s="5" t="s">
        <v>27</v>
      </c>
      <c r="H51" s="5" t="s">
        <v>35</v>
      </c>
      <c r="I51" s="5" t="s">
        <v>512</v>
      </c>
      <c r="J51" s="5" t="s">
        <v>317</v>
      </c>
      <c r="K51" s="5" t="s">
        <v>322</v>
      </c>
      <c r="L51" s="5">
        <f>_xlfn.XLOOKUP(TB_Calicut[[#This Row],[MIS_Group1]],PL_Consol!B:B,PL_Consol!C:C)</f>
        <v>24</v>
      </c>
      <c r="M51" s="17">
        <v>0</v>
      </c>
      <c r="N51" s="17">
        <v>8721</v>
      </c>
      <c r="O51" s="17">
        <v>8821</v>
      </c>
      <c r="P51" s="17">
        <v>28511</v>
      </c>
      <c r="Q51" s="17">
        <v>8848</v>
      </c>
      <c r="R51" s="17">
        <v>51348</v>
      </c>
      <c r="S51" s="17">
        <v>17988</v>
      </c>
      <c r="T51" s="17">
        <v>8848</v>
      </c>
      <c r="U51" s="17">
        <v>51817</v>
      </c>
      <c r="V51" s="17">
        <v>9318</v>
      </c>
      <c r="W51" s="17">
        <v>9318</v>
      </c>
      <c r="X51" s="17">
        <v>32268</v>
      </c>
      <c r="Y51" s="84">
        <f>SUM(TB_Calicut[[#This Row],[Apr]:[Mar]])</f>
        <v>235806</v>
      </c>
      <c r="Z51" s="90">
        <v>235806</v>
      </c>
      <c r="AA51" s="46">
        <v>25281</v>
      </c>
      <c r="AB51" s="47">
        <f>IFERROR(_xlfn.XLOOKUP(TB_Calicut[[#This Row],[Description]],[3]trialbalancePDS.rpt!$J$1:$J$65536,[3]trialbalancePDS.rpt!$I$1:$I$65536,0),0)</f>
        <v>26402.07</v>
      </c>
      <c r="AC51" s="46"/>
    </row>
    <row r="52" spans="2:29" x14ac:dyDescent="0.3">
      <c r="B52" s="5" t="s">
        <v>192</v>
      </c>
      <c r="C52" s="5" t="s">
        <v>2</v>
      </c>
      <c r="D52" s="5" t="s">
        <v>198</v>
      </c>
      <c r="E52" s="5" t="s">
        <v>25</v>
      </c>
      <c r="F52" s="5" t="s">
        <v>42</v>
      </c>
      <c r="G52" s="5" t="s">
        <v>27</v>
      </c>
      <c r="H52" s="5" t="s">
        <v>36</v>
      </c>
      <c r="I52" s="5" t="s">
        <v>512</v>
      </c>
      <c r="J52" s="5" t="s">
        <v>311</v>
      </c>
      <c r="K52" s="5" t="s">
        <v>324</v>
      </c>
      <c r="L52" s="5">
        <f>_xlfn.XLOOKUP(TB_Calicut[[#This Row],[MIS_Group1]],PL_Consol!B:B,PL_Consol!C:C)</f>
        <v>13</v>
      </c>
      <c r="M52" s="17">
        <v>0</v>
      </c>
      <c r="N52" s="17">
        <v>0</v>
      </c>
      <c r="O52" s="17">
        <v>0</v>
      </c>
      <c r="P52" s="17">
        <v>18994</v>
      </c>
      <c r="Q52" s="17">
        <v>10557</v>
      </c>
      <c r="R52" s="17">
        <v>0</v>
      </c>
      <c r="S52" s="17">
        <v>0</v>
      </c>
      <c r="T52" s="17">
        <v>1740</v>
      </c>
      <c r="U52" s="17">
        <v>0</v>
      </c>
      <c r="V52" s="17">
        <v>5000</v>
      </c>
      <c r="W52" s="17">
        <v>120</v>
      </c>
      <c r="X52" s="17">
        <v>14910</v>
      </c>
      <c r="Y52" s="84">
        <f>SUM(TB_Calicut[[#This Row],[Apr]:[Mar]])</f>
        <v>51321</v>
      </c>
      <c r="Z52" s="90">
        <v>51321</v>
      </c>
      <c r="AA52" s="46">
        <v>0</v>
      </c>
      <c r="AB52" s="47">
        <f>IFERROR(_xlfn.XLOOKUP(TB_Calicut[[#This Row],[Description]],[3]trialbalancePDS.rpt!$J$1:$J$65536,[3]trialbalancePDS.rpt!$I$1:$I$65536,0),0)</f>
        <v>90</v>
      </c>
      <c r="AC52" s="46"/>
    </row>
    <row r="53" spans="2:29" x14ac:dyDescent="0.3">
      <c r="B53" s="5" t="s">
        <v>193</v>
      </c>
      <c r="C53" s="5" t="s">
        <v>2</v>
      </c>
      <c r="D53" s="5" t="s">
        <v>198</v>
      </c>
      <c r="E53" s="5" t="s">
        <v>25</v>
      </c>
      <c r="F53" s="5" t="s">
        <v>42</v>
      </c>
      <c r="G53" s="5" t="s">
        <v>27</v>
      </c>
      <c r="H53" s="5" t="s">
        <v>37</v>
      </c>
      <c r="I53" s="5" t="s">
        <v>512</v>
      </c>
      <c r="J53" s="5" t="s">
        <v>325</v>
      </c>
      <c r="K53" s="5" t="s">
        <v>326</v>
      </c>
      <c r="L53" s="5">
        <f>_xlfn.XLOOKUP(TB_Calicut[[#This Row],[MIS_Group1]],PL_Consol!B:B,PL_Consol!C:C)</f>
        <v>25</v>
      </c>
      <c r="M53" s="17">
        <v>0</v>
      </c>
      <c r="N53" s="17">
        <v>28599</v>
      </c>
      <c r="O53" s="17">
        <v>0</v>
      </c>
      <c r="P53" s="17">
        <v>31084</v>
      </c>
      <c r="Q53" s="17">
        <v>25081</v>
      </c>
      <c r="R53" s="17">
        <v>0</v>
      </c>
      <c r="S53" s="17">
        <v>31385</v>
      </c>
      <c r="T53" s="17">
        <v>25411</v>
      </c>
      <c r="U53" s="17">
        <v>9687</v>
      </c>
      <c r="V53" s="17">
        <v>5027</v>
      </c>
      <c r="W53" s="17">
        <v>61245</v>
      </c>
      <c r="X53" s="17">
        <v>31259</v>
      </c>
      <c r="Y53" s="84">
        <f>SUM(TB_Calicut[[#This Row],[Apr]:[Mar]])</f>
        <v>248778</v>
      </c>
      <c r="Z53" s="90">
        <v>248778</v>
      </c>
      <c r="AA53" s="46">
        <v>17600</v>
      </c>
      <c r="AB53" s="47">
        <f>IFERROR(_xlfn.XLOOKUP(TB_Calicut[[#This Row],[Description]],[3]trialbalancePDS.rpt!$J$1:$J$65536,[3]trialbalancePDS.rpt!$I$1:$I$65536,0),0)</f>
        <v>3093</v>
      </c>
      <c r="AC53" s="46"/>
    </row>
    <row r="54" spans="2:29" x14ac:dyDescent="0.3">
      <c r="B54" s="5" t="s">
        <v>38</v>
      </c>
      <c r="C54" s="5" t="s">
        <v>2</v>
      </c>
      <c r="D54" s="5" t="s">
        <v>198</v>
      </c>
      <c r="E54" s="5" t="s">
        <v>25</v>
      </c>
      <c r="F54" s="5" t="s">
        <v>42</v>
      </c>
      <c r="G54" s="5" t="s">
        <v>27</v>
      </c>
      <c r="H54" s="5" t="s">
        <v>38</v>
      </c>
      <c r="I54" s="5" t="s">
        <v>512</v>
      </c>
      <c r="J54" s="5" t="s">
        <v>289</v>
      </c>
      <c r="K54" s="5" t="s">
        <v>327</v>
      </c>
      <c r="L54" s="5">
        <f>_xlfn.XLOOKUP(TB_Calicut[[#This Row],[MIS_Group1]],PL_Consol!B:B,PL_Consol!C:C)</f>
        <v>12</v>
      </c>
      <c r="M54" s="17">
        <v>0</v>
      </c>
      <c r="N54" s="17">
        <v>0</v>
      </c>
      <c r="O54" s="17">
        <v>0</v>
      </c>
      <c r="P54" s="17">
        <v>3490</v>
      </c>
      <c r="Q54" s="17">
        <v>7478</v>
      </c>
      <c r="R54" s="17">
        <v>11301</v>
      </c>
      <c r="S54" s="17">
        <v>200</v>
      </c>
      <c r="T54" s="17">
        <v>4919.33</v>
      </c>
      <c r="U54" s="17">
        <v>800</v>
      </c>
      <c r="V54" s="17">
        <v>23500</v>
      </c>
      <c r="W54" s="17">
        <v>2190</v>
      </c>
      <c r="X54" s="17">
        <v>2929</v>
      </c>
      <c r="Y54" s="84">
        <f>SUM(TB_Calicut[[#This Row],[Apr]:[Mar]])</f>
        <v>56807.33</v>
      </c>
      <c r="Z54" s="90">
        <v>56807.33</v>
      </c>
      <c r="AA54" s="46">
        <v>0</v>
      </c>
      <c r="AB54" s="47">
        <f>IFERROR(_xlfn.XLOOKUP(TB_Calicut[[#This Row],[Description]],[3]trialbalancePDS.rpt!$J$1:$J$65536,[3]trialbalancePDS.rpt!$I$1:$I$65536,0),0)</f>
        <v>17475</v>
      </c>
      <c r="AC54" s="46"/>
    </row>
    <row r="55" spans="2:29" x14ac:dyDescent="0.3">
      <c r="B55" s="5" t="s">
        <v>254</v>
      </c>
      <c r="C55" s="5" t="s">
        <v>2</v>
      </c>
      <c r="D55" s="5" t="s">
        <v>198</v>
      </c>
      <c r="E55" s="5" t="s">
        <v>25</v>
      </c>
      <c r="F55" s="5" t="s">
        <v>42</v>
      </c>
      <c r="G55" s="5" t="s">
        <v>40</v>
      </c>
      <c r="H55" s="5" t="s">
        <v>40</v>
      </c>
      <c r="I55" s="5" t="s">
        <v>512</v>
      </c>
      <c r="J55" s="5" t="s">
        <v>270</v>
      </c>
      <c r="K55" s="5" t="s">
        <v>271</v>
      </c>
      <c r="L55" s="5">
        <f>_xlfn.XLOOKUP(TB_Calicut[[#This Row],[MIS_Group1]],PL_Consol!B:B,PL_Consol!C:C)</f>
        <v>26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84">
        <f>SUM(TB_Calicut[[#This Row],[Apr]:[Mar]])</f>
        <v>0</v>
      </c>
      <c r="Z55" s="90">
        <v>0</v>
      </c>
      <c r="AA55" s="46">
        <v>0</v>
      </c>
      <c r="AB55" s="47">
        <f>IFERROR(_xlfn.XLOOKUP(TB_Calicut[[#This Row],[Description]],[3]trialbalancePDS.rpt!$J$1:$J$65536,[3]trialbalancePDS.rpt!$I$1:$I$65536,0),0)</f>
        <v>0</v>
      </c>
      <c r="AC55" s="46"/>
    </row>
    <row r="56" spans="2:29" x14ac:dyDescent="0.3">
      <c r="B56" s="5" t="s">
        <v>255</v>
      </c>
      <c r="C56" s="5" t="s">
        <v>2</v>
      </c>
      <c r="D56" s="5" t="s">
        <v>198</v>
      </c>
      <c r="E56" s="5" t="s">
        <v>25</v>
      </c>
      <c r="F56" s="5" t="s">
        <v>42</v>
      </c>
      <c r="G56" s="5" t="s">
        <v>40</v>
      </c>
      <c r="H56" s="5" t="s">
        <v>40</v>
      </c>
      <c r="I56" s="5" t="s">
        <v>512</v>
      </c>
      <c r="J56" s="5" t="s">
        <v>325</v>
      </c>
      <c r="K56" s="5" t="e">
        <v>#N/A</v>
      </c>
      <c r="L56" s="5">
        <f>_xlfn.XLOOKUP(TB_Calicut[[#This Row],[MIS_Group1]],PL_Consol!B:B,PL_Consol!C:C)</f>
        <v>25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85">
        <f>SUM(TB_Calicut[[#This Row],[Apr]:[Mar]])</f>
        <v>0</v>
      </c>
      <c r="Z56" s="90">
        <v>0</v>
      </c>
      <c r="AA56" s="46">
        <v>0</v>
      </c>
      <c r="AB56" s="47">
        <f>IFERROR(_xlfn.XLOOKUP(TB_Calicut[[#This Row],[Description]],[3]trialbalancePDS.rpt!$J$1:$J$65536,[3]trialbalancePDS.rpt!$I$1:$I$65536,0),0)</f>
        <v>0</v>
      </c>
      <c r="AC56" s="48"/>
    </row>
    <row r="57" spans="2:29" x14ac:dyDescent="0.3">
      <c r="B57" s="5" t="s">
        <v>143</v>
      </c>
      <c r="C57" s="5" t="s">
        <v>2</v>
      </c>
      <c r="D57" s="5" t="s">
        <v>198</v>
      </c>
      <c r="E57" s="5" t="s">
        <v>25</v>
      </c>
      <c r="F57" s="5" t="s">
        <v>42</v>
      </c>
      <c r="G57" s="5" t="s">
        <v>49</v>
      </c>
      <c r="H57" s="5" t="s">
        <v>243</v>
      </c>
      <c r="I57" s="5" t="s">
        <v>512</v>
      </c>
      <c r="J57" s="5" t="s">
        <v>289</v>
      </c>
      <c r="K57" s="5" t="s">
        <v>296</v>
      </c>
      <c r="L57" s="5">
        <f>_xlfn.XLOOKUP(TB_Calicut[[#This Row],[MIS_Group1]],PL_Consol!B:B,PL_Consol!C:C)</f>
        <v>12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84">
        <f>SUM(TB_Calicut[[#This Row],[Apr]:[Mar]])</f>
        <v>0</v>
      </c>
      <c r="Z57" s="90">
        <v>0</v>
      </c>
      <c r="AA57" s="46">
        <v>0</v>
      </c>
      <c r="AB57" s="47">
        <f>IFERROR(_xlfn.XLOOKUP(TB_Calicut[[#This Row],[Description]],[3]trialbalancePDS.rpt!$J$1:$J$65536,[3]trialbalancePDS.rpt!$I$1:$I$65536,0),0)</f>
        <v>0</v>
      </c>
      <c r="AC57" s="46"/>
    </row>
    <row r="58" spans="2:29" x14ac:dyDescent="0.3">
      <c r="B58" s="5" t="s">
        <v>500</v>
      </c>
      <c r="C58" s="5" t="s">
        <v>2</v>
      </c>
      <c r="D58" s="5" t="s">
        <v>198</v>
      </c>
      <c r="E58" s="5" t="s">
        <v>25</v>
      </c>
      <c r="F58" s="5" t="s">
        <v>42</v>
      </c>
      <c r="G58" s="5" t="s">
        <v>47</v>
      </c>
      <c r="H58" s="5" t="s">
        <v>47</v>
      </c>
      <c r="I58" s="5" t="s">
        <v>512</v>
      </c>
      <c r="J58" s="5" t="s">
        <v>301</v>
      </c>
      <c r="K58" s="5" t="s">
        <v>501</v>
      </c>
      <c r="L58" s="5">
        <f>_xlfn.XLOOKUP(TB_Calicut[[#This Row],[MIS_Group1]],PL_Consol!B:B,PL_Consol!C:C)</f>
        <v>20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84">
        <f>SUM(TB_Calicut[[#This Row],[Apr]:[Mar]])</f>
        <v>0</v>
      </c>
      <c r="Z58" s="90">
        <v>0</v>
      </c>
      <c r="AA58" s="46">
        <v>0</v>
      </c>
      <c r="AB58" s="47">
        <f>IFERROR(_xlfn.XLOOKUP(TB_Calicut[[#This Row],[Description]],[3]trialbalancePDS.rpt!$J$1:$J$65536,[3]trialbalancePDS.rpt!$I$1:$I$65536,0),0)</f>
        <v>0</v>
      </c>
      <c r="AC58" s="46"/>
    </row>
    <row r="59" spans="2:29" x14ac:dyDescent="0.3">
      <c r="B59" s="5" t="s">
        <v>43</v>
      </c>
      <c r="C59" s="5" t="s">
        <v>2</v>
      </c>
      <c r="D59" s="5" t="s">
        <v>198</v>
      </c>
      <c r="E59" s="5" t="s">
        <v>25</v>
      </c>
      <c r="F59" s="5" t="s">
        <v>42</v>
      </c>
      <c r="G59" s="5"/>
      <c r="H59" s="5" t="s">
        <v>43</v>
      </c>
      <c r="I59" s="5" t="s">
        <v>512</v>
      </c>
      <c r="J59" s="5" t="s">
        <v>270</v>
      </c>
      <c r="K59" s="5"/>
      <c r="L59" s="5">
        <f>_xlfn.XLOOKUP(TB_Calicut[[#This Row],[MIS_Group1]],PL_Consol!B:B,PL_Consol!C:C)</f>
        <v>26</v>
      </c>
      <c r="M59" s="17"/>
      <c r="N59" s="17"/>
      <c r="O59" s="17"/>
      <c r="P59" s="17"/>
      <c r="Q59" s="17">
        <v>590</v>
      </c>
      <c r="R59" s="17">
        <v>0</v>
      </c>
      <c r="S59" s="17">
        <v>0</v>
      </c>
      <c r="T59" s="17">
        <v>240</v>
      </c>
      <c r="U59" s="17">
        <v>0</v>
      </c>
      <c r="V59" s="17">
        <v>500</v>
      </c>
      <c r="W59" s="17">
        <v>0</v>
      </c>
      <c r="X59" s="17">
        <v>0</v>
      </c>
      <c r="Y59" s="84">
        <f>SUM(TB_Calicut[[#This Row],[Apr]:[Mar]])</f>
        <v>1330</v>
      </c>
      <c r="Z59" s="90">
        <v>1330</v>
      </c>
      <c r="AA59" s="46">
        <v>0</v>
      </c>
      <c r="AB59" s="47">
        <f>IFERROR(_xlfn.XLOOKUP(TB_Calicut[[#This Row],[Description]],[3]trialbalancePDS.rpt!$J$1:$J$65536,[3]trialbalancePDS.rpt!$I$1:$I$65536,0),0)</f>
        <v>0</v>
      </c>
      <c r="AC59" s="46"/>
    </row>
    <row r="60" spans="2:29" x14ac:dyDescent="0.3">
      <c r="B60" s="5" t="s">
        <v>180</v>
      </c>
      <c r="C60" s="5" t="s">
        <v>2</v>
      </c>
      <c r="D60" s="5" t="s">
        <v>198</v>
      </c>
      <c r="E60" s="5" t="s">
        <v>25</v>
      </c>
      <c r="F60" s="5" t="s">
        <v>42</v>
      </c>
      <c r="G60" s="5"/>
      <c r="H60" s="5" t="s">
        <v>47</v>
      </c>
      <c r="I60" s="5" t="s">
        <v>512</v>
      </c>
      <c r="J60" s="5" t="s">
        <v>301</v>
      </c>
      <c r="K60" s="5"/>
      <c r="L60" s="5">
        <f>_xlfn.XLOOKUP(TB_Calicut[[#This Row],[MIS_Group1]],PL_Consol!B:B,PL_Consol!C:C)</f>
        <v>20</v>
      </c>
      <c r="M60" s="17"/>
      <c r="N60" s="17"/>
      <c r="O60" s="17"/>
      <c r="P60" s="17">
        <v>23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84">
        <f>SUM(TB_Calicut[[#This Row],[Apr]:[Mar]])</f>
        <v>23</v>
      </c>
      <c r="Z60" s="90">
        <v>23</v>
      </c>
      <c r="AA60" s="46">
        <v>0</v>
      </c>
      <c r="AB60" s="47">
        <f>IFERROR(_xlfn.XLOOKUP(TB_Calicut[[#This Row],[Description]],[3]trialbalancePDS.rpt!$J$1:$J$65536,[3]trialbalancePDS.rpt!$I$1:$I$65536,0),0)</f>
        <v>0</v>
      </c>
      <c r="AC60" s="46"/>
    </row>
    <row r="61" spans="2:29" x14ac:dyDescent="0.3">
      <c r="B61" s="5" t="s">
        <v>189</v>
      </c>
      <c r="C61" s="5" t="s">
        <v>2</v>
      </c>
      <c r="D61" s="5" t="s">
        <v>198</v>
      </c>
      <c r="E61" s="5" t="s">
        <v>25</v>
      </c>
      <c r="F61" s="5" t="s">
        <v>42</v>
      </c>
      <c r="G61" s="5" t="s">
        <v>27</v>
      </c>
      <c r="H61" s="5" t="s">
        <v>33</v>
      </c>
      <c r="I61" s="5" t="s">
        <v>512</v>
      </c>
      <c r="J61" s="5" t="s">
        <v>503</v>
      </c>
      <c r="K61" s="5" t="s">
        <v>503</v>
      </c>
      <c r="L61" s="5">
        <f>_xlfn.XLOOKUP(TB_Calicut[[#This Row],[MIS_Group1]],PL_Consol!B:B,PL_Consol!C:C)</f>
        <v>27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84">
        <f>SUM(TB_Calicut[[#This Row],[Apr]:[Mar]])</f>
        <v>0</v>
      </c>
      <c r="Z61" s="90">
        <v>0</v>
      </c>
      <c r="AA61" s="46">
        <v>0</v>
      </c>
      <c r="AB61" s="47">
        <f>IFERROR(_xlfn.XLOOKUP(TB_Calicut[[#This Row],[Description]],[3]trialbalancePDS.rpt!$J$1:$J$65536,[3]trialbalancePDS.rpt!$I$1:$I$65536,0),0)</f>
        <v>0</v>
      </c>
      <c r="AC61" s="46"/>
    </row>
    <row r="62" spans="2:29" x14ac:dyDescent="0.3">
      <c r="B62" s="5" t="s">
        <v>484</v>
      </c>
      <c r="C62" s="5" t="s">
        <v>2</v>
      </c>
      <c r="D62" s="5" t="s">
        <v>198</v>
      </c>
      <c r="E62" s="5" t="s">
        <v>25</v>
      </c>
      <c r="F62" s="5" t="s">
        <v>42</v>
      </c>
      <c r="G62" s="5" t="s">
        <v>485</v>
      </c>
      <c r="H62" s="5" t="s">
        <v>485</v>
      </c>
      <c r="I62" s="5" t="s">
        <v>512</v>
      </c>
      <c r="J62" s="5" t="s">
        <v>332</v>
      </c>
      <c r="K62" s="5" t="s">
        <v>497</v>
      </c>
      <c r="L62" s="5">
        <f>_xlfn.XLOOKUP(TB_Calicut[[#This Row],[MIS_Group1]],PL_Consol!B:B,PL_Consol!C:C)</f>
        <v>28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84">
        <f>SUM(TB_Calicut[[#This Row],[Apr]:[Mar]])</f>
        <v>0</v>
      </c>
      <c r="Z62" s="90">
        <v>0</v>
      </c>
      <c r="AA62" s="46">
        <v>0</v>
      </c>
      <c r="AB62" s="47">
        <f>IFERROR(_xlfn.XLOOKUP(TB_Calicut[[#This Row],[Description]],[3]trialbalancePDS.rpt!$J$1:$J$65536,[3]trialbalancePDS.rpt!$I$1:$I$65536,0),0)</f>
        <v>0</v>
      </c>
      <c r="AC62" s="46"/>
    </row>
    <row r="63" spans="2:29" x14ac:dyDescent="0.3">
      <c r="B63" s="5" t="s">
        <v>485</v>
      </c>
      <c r="C63" s="5" t="s">
        <v>2</v>
      </c>
      <c r="D63" s="5" t="s">
        <v>198</v>
      </c>
      <c r="E63" s="5" t="s">
        <v>25</v>
      </c>
      <c r="F63" s="5" t="s">
        <v>42</v>
      </c>
      <c r="G63" s="5" t="s">
        <v>485</v>
      </c>
      <c r="H63" s="5" t="s">
        <v>485</v>
      </c>
      <c r="I63" s="5" t="s">
        <v>512</v>
      </c>
      <c r="J63" s="5" t="s">
        <v>332</v>
      </c>
      <c r="K63" s="5" t="s">
        <v>332</v>
      </c>
      <c r="L63" s="5">
        <f>_xlfn.XLOOKUP(TB_Calicut[[#This Row],[MIS_Group1]],PL_Consol!B:B,PL_Consol!C:C)</f>
        <v>28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/>
      <c r="X63" s="17"/>
      <c r="Y63" s="84">
        <f>SUM(TB_Calicut[[#This Row],[Apr]:[Mar]])</f>
        <v>0</v>
      </c>
      <c r="Z63" s="90"/>
      <c r="AA63" s="46">
        <v>0</v>
      </c>
      <c r="AB63" s="47">
        <f>IFERROR(_xlfn.XLOOKUP(TB_Calicut[[#This Row],[Description]],[3]trialbalancePDS.rpt!$J$1:$J$65536,[3]trialbalancePDS.rpt!$I$1:$I$65536,0),0)</f>
        <v>0</v>
      </c>
      <c r="AC63" s="46"/>
    </row>
    <row r="64" spans="2:29" x14ac:dyDescent="0.3">
      <c r="B64" s="5" t="s">
        <v>128</v>
      </c>
      <c r="C64" s="5" t="s">
        <v>2</v>
      </c>
      <c r="D64" s="5" t="s">
        <v>198</v>
      </c>
      <c r="E64" s="5"/>
      <c r="F64" s="5"/>
      <c r="G64" s="5"/>
      <c r="H64" s="5"/>
      <c r="I64" s="5" t="s">
        <v>512</v>
      </c>
      <c r="J64" s="5" t="s">
        <v>206</v>
      </c>
      <c r="K64" s="5"/>
      <c r="L64" s="5">
        <f>_xlfn.XLOOKUP(TB_Calicut[[#This Row],[MIS_Group1]],PL_Consol!B:B,PL_Consol!C:C)</f>
        <v>14</v>
      </c>
      <c r="M64" s="17"/>
      <c r="N64" s="17"/>
      <c r="O64" s="17"/>
      <c r="P64" s="17"/>
      <c r="Q64" s="17"/>
      <c r="R64" s="17"/>
      <c r="S64" s="17"/>
      <c r="T64" s="17"/>
      <c r="U64" s="17"/>
      <c r="V64" s="17">
        <v>3750</v>
      </c>
      <c r="W64" s="17">
        <v>0</v>
      </c>
      <c r="X64" s="17">
        <v>0</v>
      </c>
      <c r="Y64" s="84">
        <f>SUM(TB_Calicut[[#This Row],[Apr]:[Mar]])</f>
        <v>3750</v>
      </c>
      <c r="Z64" s="90">
        <v>3750</v>
      </c>
      <c r="AA64" s="46">
        <v>1500</v>
      </c>
      <c r="AB64" s="47">
        <f>IFERROR(_xlfn.XLOOKUP(TB_Calicut[[#This Row],[Description]],[3]trialbalancePDS.rpt!$J$1:$J$65536,[3]trialbalancePDS.rpt!$I$1:$I$65536,0),0)</f>
        <v>0</v>
      </c>
      <c r="AC64" s="46"/>
    </row>
    <row r="65" spans="2:29" x14ac:dyDescent="0.3">
      <c r="B65" s="5" t="s">
        <v>100</v>
      </c>
      <c r="C65" s="5" t="s">
        <v>2</v>
      </c>
      <c r="D65" s="5" t="s">
        <v>198</v>
      </c>
      <c r="E65" s="5"/>
      <c r="F65" s="5"/>
      <c r="G65" s="5"/>
      <c r="H65" s="5"/>
      <c r="I65" s="5" t="s">
        <v>512</v>
      </c>
      <c r="J65" s="5" t="s">
        <v>268</v>
      </c>
      <c r="K65" s="5"/>
      <c r="L65" s="5">
        <f>_xlfn.XLOOKUP(TB_Calicut[[#This Row],[MIS_Group1]],PL_Consol!B:B,PL_Consol!C:C)</f>
        <v>8</v>
      </c>
      <c r="M65" s="17"/>
      <c r="N65" s="17"/>
      <c r="O65" s="17"/>
      <c r="P65" s="17"/>
      <c r="Q65" s="17"/>
      <c r="R65" s="17"/>
      <c r="S65" s="17"/>
      <c r="T65" s="17"/>
      <c r="U65" s="17"/>
      <c r="V65" s="17">
        <v>0</v>
      </c>
      <c r="W65" s="17">
        <v>5667</v>
      </c>
      <c r="X65" s="17">
        <v>0</v>
      </c>
      <c r="Y65" s="84">
        <f>SUM(TB_Calicut[[#This Row],[Apr]:[Mar]])</f>
        <v>5667</v>
      </c>
      <c r="Z65" s="90">
        <v>5667</v>
      </c>
      <c r="AA65" s="46">
        <v>0</v>
      </c>
      <c r="AB65" s="47">
        <f>IFERROR(_xlfn.XLOOKUP(TB_Calicut[[#This Row],[Description]],[3]trialbalancePDS.rpt!$J$1:$J$65536,[3]trialbalancePDS.rpt!$I$1:$I$65536,0),0)</f>
        <v>0</v>
      </c>
      <c r="AC65" s="46"/>
    </row>
    <row r="66" spans="2:29" x14ac:dyDescent="0.3">
      <c r="B66" s="5" t="s">
        <v>616</v>
      </c>
      <c r="C66" s="5" t="s">
        <v>617</v>
      </c>
      <c r="D66" s="5" t="s">
        <v>198</v>
      </c>
      <c r="E66" s="5"/>
      <c r="F66" s="5"/>
      <c r="G66" s="5"/>
      <c r="H66" s="5"/>
      <c r="I66" s="5" t="s">
        <v>512</v>
      </c>
      <c r="J66" s="5" t="s">
        <v>288</v>
      </c>
      <c r="K66" s="5"/>
      <c r="L66" s="5">
        <f>_xlfn.XLOOKUP(TB_Calicut[[#This Row],[MIS_Group1]],PL_Consol!B:B,PL_Consol!C:C)</f>
        <v>15</v>
      </c>
      <c r="M66" s="17">
        <v>903467</v>
      </c>
      <c r="N66" s="17">
        <v>903467</v>
      </c>
      <c r="O66" s="17">
        <v>903467</v>
      </c>
      <c r="P66" s="17">
        <v>903467</v>
      </c>
      <c r="Q66" s="17">
        <v>903467</v>
      </c>
      <c r="R66" s="17">
        <v>903467</v>
      </c>
      <c r="S66" s="17">
        <v>971969.54</v>
      </c>
      <c r="T66" s="17">
        <v>1031907.64</v>
      </c>
      <c r="U66" s="17">
        <v>1031907.64</v>
      </c>
      <c r="V66" s="17">
        <v>1031907.64</v>
      </c>
      <c r="W66" s="17">
        <v>1031907.64</v>
      </c>
      <c r="X66" s="17">
        <v>1031907.64</v>
      </c>
      <c r="Y66" s="84">
        <f>SUM(TB_Calicut[[#This Row],[Apr]:[Mar]])</f>
        <v>11552309.740000002</v>
      </c>
      <c r="Z66" s="90"/>
      <c r="AA66" s="17">
        <v>1031907.64</v>
      </c>
      <c r="AB66" s="17">
        <v>1031907.64</v>
      </c>
      <c r="AC66" s="46"/>
    </row>
    <row r="67" spans="2:29" x14ac:dyDescent="0.3">
      <c r="B67" s="69" t="s">
        <v>624</v>
      </c>
      <c r="C67" s="69" t="s">
        <v>570</v>
      </c>
      <c r="D67" s="5" t="s">
        <v>198</v>
      </c>
      <c r="E67" s="5"/>
      <c r="F67" s="5"/>
      <c r="G67" s="5"/>
      <c r="H67" s="5"/>
      <c r="I67" s="5" t="s">
        <v>512</v>
      </c>
      <c r="J67" s="5" t="s">
        <v>272</v>
      </c>
      <c r="K67" s="5"/>
      <c r="L67" s="5">
        <f>_xlfn.XLOOKUP(TB_Calicut[[#This Row],[MIS_Group1]],PL_Consol!B:B,PL_Consol!C:C)</f>
        <v>10</v>
      </c>
      <c r="M67" s="17">
        <v>1258.8933605638315</v>
      </c>
      <c r="N67" s="17">
        <v>1258.8933605638315</v>
      </c>
      <c r="O67" s="17">
        <v>1258.8933605638315</v>
      </c>
      <c r="P67" s="17">
        <v>1258.8933605638315</v>
      </c>
      <c r="Q67" s="17">
        <v>1258.8933605638315</v>
      </c>
      <c r="R67" s="17">
        <v>1258.8933605638315</v>
      </c>
      <c r="S67" s="17">
        <v>1258.8933605638315</v>
      </c>
      <c r="T67" s="17">
        <v>1258.8933605638315</v>
      </c>
      <c r="U67" s="17">
        <v>1258.8933605638315</v>
      </c>
      <c r="V67" s="17">
        <v>1258.8933605638315</v>
      </c>
      <c r="W67" s="17">
        <v>1258.8933605638315</v>
      </c>
      <c r="X67" s="17">
        <v>1258.8933605638315</v>
      </c>
      <c r="Y67" s="84">
        <f>SUM(TB_Calicut[[#This Row],[Apr]:[Mar]])</f>
        <v>15106.720326765981</v>
      </c>
      <c r="Z67" s="90"/>
      <c r="AA67" s="46">
        <v>1258.8933605638315</v>
      </c>
      <c r="AB67" s="46">
        <v>1258.8933605638315</v>
      </c>
      <c r="AC67" s="46"/>
    </row>
    <row r="68" spans="2:29" x14ac:dyDescent="0.3">
      <c r="B68" s="69" t="s">
        <v>509</v>
      </c>
      <c r="C68" s="69" t="s">
        <v>570</v>
      </c>
      <c r="D68" s="69"/>
      <c r="E68" s="69"/>
      <c r="F68" s="69"/>
      <c r="G68" s="69"/>
      <c r="H68" s="69"/>
      <c r="I68" s="69" t="s">
        <v>512</v>
      </c>
      <c r="J68" s="69" t="s">
        <v>268</v>
      </c>
      <c r="K68" s="69" t="s">
        <v>509</v>
      </c>
      <c r="L68" s="69">
        <f>_xlfn.XLOOKUP(TB_Calicut[[#This Row],[MIS_Group1]],PL_Consol!B:B,PL_Consol!C:C)</f>
        <v>8</v>
      </c>
      <c r="M68" s="70">
        <v>1610153.2679000045</v>
      </c>
      <c r="N68" s="70">
        <v>1661928.2416000001</v>
      </c>
      <c r="O68" s="70">
        <v>1784305.4398000001</v>
      </c>
      <c r="P68" s="70">
        <v>1762959.6155999999</v>
      </c>
      <c r="Q68" s="70">
        <v>1689107.6524</v>
      </c>
      <c r="R68" s="70">
        <v>1667256.0475000001</v>
      </c>
      <c r="S68" s="70">
        <v>1699676.9796</v>
      </c>
      <c r="T68" s="70">
        <v>1786276.2501000001</v>
      </c>
      <c r="U68" s="70">
        <v>1896124.5360999999</v>
      </c>
      <c r="V68" s="70">
        <v>1889847.2671000001</v>
      </c>
      <c r="W68" s="70">
        <v>1852962.9125000001</v>
      </c>
      <c r="X68" s="70">
        <v>2149869.9081000001</v>
      </c>
      <c r="Y68" s="86">
        <v>1610153.2679000045</v>
      </c>
      <c r="Z68" s="90">
        <v>0</v>
      </c>
      <c r="AA68" s="70">
        <v>2529911.1159000001</v>
      </c>
      <c r="AB68" s="70">
        <v>2078378</v>
      </c>
      <c r="AC68" s="70"/>
    </row>
    <row r="69" spans="2:29" x14ac:dyDescent="0.3">
      <c r="B69" s="69" t="s">
        <v>510</v>
      </c>
      <c r="C69" s="69" t="s">
        <v>570</v>
      </c>
      <c r="D69" s="69"/>
      <c r="E69" s="69"/>
      <c r="F69" s="69"/>
      <c r="G69" s="69"/>
      <c r="H69" s="69"/>
      <c r="I69" s="69" t="s">
        <v>512</v>
      </c>
      <c r="J69" s="69" t="s">
        <v>268</v>
      </c>
      <c r="K69" s="69" t="s">
        <v>510</v>
      </c>
      <c r="L69" s="69">
        <f>_xlfn.XLOOKUP(TB_Calicut[[#This Row],[MIS_Group1]],PL_Consol!B:B,PL_Consol!C:C)</f>
        <v>8</v>
      </c>
      <c r="M69" s="70">
        <v>-1661928.2416000001</v>
      </c>
      <c r="N69" s="70">
        <v>-1784305.4398000001</v>
      </c>
      <c r="O69" s="70">
        <v>-1762959.6155999999</v>
      </c>
      <c r="P69" s="70">
        <v>-1689107.6524</v>
      </c>
      <c r="Q69" s="70">
        <v>-1667256.0475000001</v>
      </c>
      <c r="R69" s="70">
        <v>-1699676.9796</v>
      </c>
      <c r="S69" s="70">
        <v>-1786276.2501000001</v>
      </c>
      <c r="T69" s="70">
        <v>-1896124.5360999999</v>
      </c>
      <c r="U69" s="70">
        <v>-1889847.2671000001</v>
      </c>
      <c r="V69" s="70">
        <v>-1852962.9125000001</v>
      </c>
      <c r="W69" s="70">
        <v>-2149869.9081000001</v>
      </c>
      <c r="X69" s="70">
        <v>-3329911.1159000001</v>
      </c>
      <c r="Y69" s="86">
        <v>-2029911.1159000001</v>
      </c>
      <c r="Z69" s="91">
        <v>0</v>
      </c>
      <c r="AA69" s="70">
        <v>-2078378</v>
      </c>
      <c r="AB69" s="70">
        <v>-1998275.3629999999</v>
      </c>
      <c r="AC69" s="70"/>
    </row>
    <row r="70" spans="2:29" x14ac:dyDescent="0.3"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9">
        <f>SUBTOTAL(109,TB_Calicut[Apr])</f>
        <v>703996.61966056819</v>
      </c>
      <c r="N70" s="9">
        <f>SUBTOTAL(109,TB_Calicut[May])</f>
        <v>1639480.9751605641</v>
      </c>
      <c r="O70" s="9">
        <f>SUBTOTAL(109,TB_Calicut[Jun])</f>
        <v>1483425.0575605643</v>
      </c>
      <c r="P70" s="9">
        <f>SUBTOTAL(109,TB_Calicut[Jul])</f>
        <v>1416909.5865605636</v>
      </c>
      <c r="Q70" s="9">
        <f>SUBTOTAL(109,TB_Calicut[Aug])</f>
        <v>1163346.1482605638</v>
      </c>
      <c r="R70" s="9">
        <f>SUBTOTAL(109,TB_Calicut[Sep])</f>
        <v>1297837.9612605639</v>
      </c>
      <c r="S70" s="9">
        <f>SUBTOTAL(109,TB_Calicut[Oct])</f>
        <v>1535433.3928605642</v>
      </c>
      <c r="T70" s="9">
        <f>SUBTOTAL(109,TB_Calicut[Nov])</f>
        <v>1687578.1673605635</v>
      </c>
      <c r="U70" s="9">
        <f>SUBTOTAL(109,TB_Calicut[Dec])</f>
        <v>1314968.8223605638</v>
      </c>
      <c r="V70" s="9">
        <f>SUBTOTAL(109,TB_Calicut[Jan])</f>
        <v>1470316.4479605635</v>
      </c>
      <c r="W70" s="9">
        <f>SUBTOTAL(109,TB_Calicut[Feb])</f>
        <v>1568308.7377605638</v>
      </c>
      <c r="X70" s="9">
        <f>SUBTOTAL(109,TB_Calicut[Mar])</f>
        <v>2151046.0755605637</v>
      </c>
      <c r="Y70" s="87">
        <f>SUBTOTAL(109,TB_Calicut[YTD])</f>
        <v>18732644.552326787</v>
      </c>
      <c r="Z70" s="92">
        <f>SUBTOTAL(109,TB_Calicut[YTD TB])</f>
        <v>7597666.4800000116</v>
      </c>
      <c r="AA70" s="148">
        <f>SUBTOTAL(109,TB_Calicut[Apr_26])</f>
        <v>1964353.0092605641</v>
      </c>
      <c r="AB70" s="148">
        <f>SUBTOTAL(109,TB_Calicut[May-26])</f>
        <v>1879228.4003605638</v>
      </c>
      <c r="AC70" s="50"/>
    </row>
    <row r="71" spans="2:29" x14ac:dyDescent="0.3"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3" spans="2:29" x14ac:dyDescent="0.3">
      <c r="N73" s="2"/>
      <c r="O73" s="2"/>
      <c r="P73" s="2"/>
      <c r="Q73" s="2"/>
      <c r="R73" s="2"/>
    </row>
    <row r="74" spans="2:29" x14ac:dyDescent="0.3"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2:29" x14ac:dyDescent="0.3"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</sheetData>
  <phoneticPr fontId="7" type="noConversion"/>
  <conditionalFormatting sqref="B3:B66 B68:B69">
    <cfRule type="duplicateValues" dxfId="145" priority="859"/>
  </conditionalFormatting>
  <conditionalFormatting sqref="B68:B69">
    <cfRule type="duplicateValues" dxfId="144" priority="2"/>
  </conditionalFormatting>
  <conditionalFormatting sqref="B70:B1048576 B1:B56">
    <cfRule type="duplicateValues" dxfId="143" priority="3"/>
  </conditionalFormatting>
  <conditionalFormatting sqref="B71:B1048576 B1">
    <cfRule type="duplicateValues" dxfId="142" priority="4"/>
    <cfRule type="duplicateValues" dxfId="141" priority="5"/>
    <cfRule type="duplicateValues" dxfId="140" priority="6"/>
  </conditionalFormatting>
  <hyperlinks>
    <hyperlink ref="D2" r:id="rId1" display="FS@" xr:uid="{AFD23E32-B395-43D0-BE2C-9724D18669CA}"/>
  </hyperlinks>
  <pageMargins left="0.49993750781152352" right="0.24996875390576176" top="0.24996875390576176" bottom="0.24996875390576176" header="1.1126239318905074E-308" footer="0.24996875390576176"/>
  <pageSetup paperSize="9" orientation="portrait" errors="NA"/>
  <headerFooter alignWithMargins="0"/>
  <ignoredErrors>
    <ignoredError sqref="D48 D8 D5 D55:D56 D54 D53 D52 D50:D51 D49 D47 D44:D46 D43 D42 D39:D41 D38 D37 D36 D35 D34 D33 D30:D32 D29 D27:D28 D26 D24:D25 D23 D22 D21 D20 D16:D19 D15 D13:D14 D12 D11 D10 D9 D7 D6 D3:D4" calculatedColumn="1"/>
  </ignoredError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248C-BAE3-47FE-BF1D-F1FFD9454C6D}">
  <sheetPr>
    <tabColor theme="7" tint="0.79998168889431442"/>
  </sheetPr>
  <dimension ref="B1:AB78"/>
  <sheetViews>
    <sheetView topLeftCell="F1" workbookViewId="0">
      <selection activeCell="A71" sqref="A71"/>
    </sheetView>
  </sheetViews>
  <sheetFormatPr defaultColWidth="9.08984375" defaultRowHeight="13" x14ac:dyDescent="0.3"/>
  <cols>
    <col min="1" max="1" width="3" style="1" customWidth="1"/>
    <col min="2" max="2" width="33.6328125" style="1" customWidth="1"/>
    <col min="3" max="3" width="5.36328125" style="1" bestFit="1" customWidth="1"/>
    <col min="4" max="4" width="6" style="1" bestFit="1" customWidth="1"/>
    <col min="5" max="5" width="22.90625" style="1" customWidth="1"/>
    <col min="6" max="6" width="24.36328125" style="1" customWidth="1"/>
    <col min="7" max="7" width="21.453125" style="1" customWidth="1"/>
    <col min="8" max="8" width="32" style="1" customWidth="1"/>
    <col min="9" max="9" width="6.54296875" style="1" bestFit="1" customWidth="1"/>
    <col min="10" max="10" width="32" style="1" customWidth="1"/>
    <col min="11" max="11" width="31.90625" style="1" bestFit="1" customWidth="1"/>
    <col min="12" max="12" width="7.90625" style="1" bestFit="1" customWidth="1"/>
    <col min="13" max="13" width="16.6328125" style="1" bestFit="1" customWidth="1"/>
    <col min="14" max="14" width="16.6328125" style="2" bestFit="1" customWidth="1"/>
    <col min="15" max="16" width="16.6328125" style="1" bestFit="1" customWidth="1"/>
    <col min="17" max="18" width="16.6328125" style="14" bestFit="1" customWidth="1"/>
    <col min="19" max="22" width="16.6328125" style="1" bestFit="1" customWidth="1"/>
    <col min="23" max="24" width="15.36328125" style="1" bestFit="1" customWidth="1"/>
    <col min="25" max="27" width="14.36328125" style="1" bestFit="1" customWidth="1"/>
    <col min="28" max="262" width="11.453125" style="1" customWidth="1"/>
    <col min="263" max="16384" width="9.08984375" style="1"/>
  </cols>
  <sheetData>
    <row r="1" spans="2:28" ht="14.5" x14ac:dyDescent="0.35">
      <c r="B1" s="8" t="s">
        <v>515</v>
      </c>
    </row>
    <row r="2" spans="2:28" x14ac:dyDescent="0.3">
      <c r="B2" s="3" t="s">
        <v>0</v>
      </c>
      <c r="C2" s="4" t="s">
        <v>1</v>
      </c>
      <c r="D2" s="4" t="s">
        <v>196</v>
      </c>
      <c r="E2" s="4" t="s">
        <v>224</v>
      </c>
      <c r="F2" s="4" t="s">
        <v>225</v>
      </c>
      <c r="G2" s="11" t="s">
        <v>228</v>
      </c>
      <c r="H2" s="11" t="s">
        <v>233</v>
      </c>
      <c r="I2" s="11" t="s">
        <v>537</v>
      </c>
      <c r="J2" s="11" t="s">
        <v>260</v>
      </c>
      <c r="K2" s="11" t="s">
        <v>259</v>
      </c>
      <c r="L2" s="11" t="s">
        <v>539</v>
      </c>
      <c r="M2" s="10" t="s">
        <v>199</v>
      </c>
      <c r="N2" s="4" t="s">
        <v>208</v>
      </c>
      <c r="O2" s="4" t="s">
        <v>209</v>
      </c>
      <c r="P2" s="15" t="s">
        <v>210</v>
      </c>
      <c r="Q2" s="15" t="s">
        <v>211</v>
      </c>
      <c r="R2" s="4" t="s">
        <v>212</v>
      </c>
      <c r="S2" s="4" t="s">
        <v>213</v>
      </c>
      <c r="T2" s="4" t="s">
        <v>214</v>
      </c>
      <c r="U2" s="4" t="s">
        <v>215</v>
      </c>
      <c r="V2" s="4" t="s">
        <v>216</v>
      </c>
      <c r="W2" s="4" t="s">
        <v>217</v>
      </c>
      <c r="X2" s="4" t="s">
        <v>218</v>
      </c>
      <c r="Y2" s="54" t="s">
        <v>219</v>
      </c>
      <c r="Z2" s="49" t="s">
        <v>637</v>
      </c>
      <c r="AA2" s="163" t="s">
        <v>645</v>
      </c>
      <c r="AB2" s="49" t="s">
        <v>471</v>
      </c>
    </row>
    <row r="3" spans="2:28" x14ac:dyDescent="0.3">
      <c r="B3" s="5" t="s">
        <v>337</v>
      </c>
      <c r="C3" s="5" t="s">
        <v>2</v>
      </c>
      <c r="D3" s="5" t="s">
        <v>197</v>
      </c>
      <c r="E3" s="5" t="s">
        <v>381</v>
      </c>
      <c r="F3" s="5" t="s">
        <v>3</v>
      </c>
      <c r="G3" s="5" t="s">
        <v>382</v>
      </c>
      <c r="H3" s="5" t="s">
        <v>382</v>
      </c>
      <c r="I3" s="5" t="s">
        <v>538</v>
      </c>
      <c r="J3" s="5" t="s">
        <v>508</v>
      </c>
      <c r="K3" s="5" t="s">
        <v>423</v>
      </c>
      <c r="L3" s="5">
        <f>_xlfn.XLOOKUP(TB_FNB[[#This Row],[MIS_Group1]],PL_Consol!B:B,PL_Consol!C:C)</f>
        <v>6</v>
      </c>
      <c r="M3" s="16">
        <v>-27447</v>
      </c>
      <c r="N3" s="16">
        <v>-29312</v>
      </c>
      <c r="O3" s="16">
        <v>-26151</v>
      </c>
      <c r="P3" s="16">
        <v>-33934</v>
      </c>
      <c r="Q3" s="16">
        <v>-30390</v>
      </c>
      <c r="R3" s="16">
        <v>-28273</v>
      </c>
      <c r="S3" s="16">
        <v>-28726</v>
      </c>
      <c r="T3" s="16">
        <v>-27490</v>
      </c>
      <c r="U3" s="16">
        <v>-28000</v>
      </c>
      <c r="V3" s="17">
        <v>-30711</v>
      </c>
      <c r="W3" s="17">
        <v>-27181</v>
      </c>
      <c r="X3" s="17">
        <v>-30943</v>
      </c>
      <c r="Y3" s="18">
        <f>SUM(TB_FNB[[#This Row],[Apr]:[Mar]])</f>
        <v>-348558</v>
      </c>
      <c r="Z3" s="47">
        <v>-36919</v>
      </c>
      <c r="AA3" s="47">
        <f>_xlfn.XLOOKUP(TB_FNB[[#This Row],[Description]],[4]TBScheduleWise.rpt!$G$1:$G$65536,[4]TBScheduleWise.rpt!$F$1:$F$65536,0)</f>
        <v>-37028</v>
      </c>
      <c r="AB3" s="47"/>
    </row>
    <row r="4" spans="2:28" x14ac:dyDescent="0.3">
      <c r="B4" s="5" t="s">
        <v>338</v>
      </c>
      <c r="C4" s="5" t="s">
        <v>2</v>
      </c>
      <c r="D4" s="5" t="s">
        <v>197</v>
      </c>
      <c r="E4" s="5" t="s">
        <v>381</v>
      </c>
      <c r="F4" s="5" t="s">
        <v>3</v>
      </c>
      <c r="G4" s="5" t="s">
        <v>382</v>
      </c>
      <c r="H4" s="5" t="s">
        <v>382</v>
      </c>
      <c r="I4" s="5" t="s">
        <v>538</v>
      </c>
      <c r="J4" s="5" t="s">
        <v>508</v>
      </c>
      <c r="K4" s="5" t="s">
        <v>423</v>
      </c>
      <c r="L4" s="5">
        <f>_xlfn.XLOOKUP(TB_FNB[[#This Row],[MIS_Group1]],PL_Consol!B:B,PL_Consol!C:C)</f>
        <v>6</v>
      </c>
      <c r="M4" s="16">
        <v>-219.23</v>
      </c>
      <c r="N4" s="16">
        <v>-714.81</v>
      </c>
      <c r="O4" s="16">
        <v>-527.1</v>
      </c>
      <c r="P4" s="16">
        <v>-276.60000000000002</v>
      </c>
      <c r="Q4" s="16">
        <v>-120.75</v>
      </c>
      <c r="R4" s="16">
        <v>-155.01</v>
      </c>
      <c r="S4" s="16">
        <v>-87</v>
      </c>
      <c r="T4" s="16">
        <v>-301.33999999999997</v>
      </c>
      <c r="U4" s="16">
        <v>-102.25</v>
      </c>
      <c r="V4" s="17">
        <v>-276.67</v>
      </c>
      <c r="W4" s="17">
        <v>-48.51</v>
      </c>
      <c r="X4" s="17">
        <v>-263.55</v>
      </c>
      <c r="Y4" s="17">
        <f>SUM(TB_FNB[[#This Row],[Apr]:[Mar]])</f>
        <v>-3092.8200000000006</v>
      </c>
      <c r="Z4" s="46">
        <v>-261.94</v>
      </c>
      <c r="AA4" s="46">
        <f>_xlfn.XLOOKUP(TB_FNB[[#This Row],[Description]],[4]TBScheduleWise.rpt!$G$1:$G$65536,[4]TBScheduleWise.rpt!$F$1:$F$65536,0)</f>
        <v>-209.7</v>
      </c>
      <c r="AB4" s="46"/>
    </row>
    <row r="5" spans="2:28" x14ac:dyDescent="0.3">
      <c r="B5" s="5" t="s">
        <v>339</v>
      </c>
      <c r="C5" s="5" t="s">
        <v>2</v>
      </c>
      <c r="D5" s="5" t="s">
        <v>197</v>
      </c>
      <c r="E5" s="5" t="s">
        <v>381</v>
      </c>
      <c r="F5" s="5" t="s">
        <v>3</v>
      </c>
      <c r="G5" s="5" t="s">
        <v>12</v>
      </c>
      <c r="H5" s="5" t="s">
        <v>12</v>
      </c>
      <c r="I5" s="5" t="s">
        <v>538</v>
      </c>
      <c r="J5" s="5" t="s">
        <v>222</v>
      </c>
      <c r="K5" s="5" t="s">
        <v>222</v>
      </c>
      <c r="L5" s="5">
        <f>_xlfn.XLOOKUP(TB_FNB[[#This Row],[MIS_Group1]],PL_Consol!B:B,PL_Consol!C:C)</f>
        <v>7</v>
      </c>
      <c r="M5" s="16">
        <v>0</v>
      </c>
      <c r="N5" s="16">
        <v>0</v>
      </c>
      <c r="O5" s="16">
        <v>-1110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7">
        <v>0</v>
      </c>
      <c r="W5" s="17">
        <v>0</v>
      </c>
      <c r="X5" s="17">
        <v>0</v>
      </c>
      <c r="Y5" s="17">
        <f>SUM(TB_FNB[[#This Row],[Apr]:[Mar]])</f>
        <v>-1110</v>
      </c>
      <c r="Z5" s="46">
        <v>0</v>
      </c>
      <c r="AA5" s="46">
        <f>_xlfn.XLOOKUP(TB_FNB[[#This Row],[Description]],[4]TBScheduleWise.rpt!$G$1:$G$65536,[4]TBScheduleWise.rpt!$F$1:$F$65536,0)</f>
        <v>0</v>
      </c>
      <c r="AB5" s="46"/>
    </row>
    <row r="6" spans="2:28" x14ac:dyDescent="0.3">
      <c r="B6" s="5" t="s">
        <v>340</v>
      </c>
      <c r="C6" s="5" t="s">
        <v>2</v>
      </c>
      <c r="D6" s="5" t="s">
        <v>197</v>
      </c>
      <c r="E6" s="5" t="s">
        <v>381</v>
      </c>
      <c r="F6" s="5" t="s">
        <v>3</v>
      </c>
      <c r="G6" s="5" t="s">
        <v>12</v>
      </c>
      <c r="H6" s="5" t="s">
        <v>12</v>
      </c>
      <c r="I6" s="5" t="s">
        <v>538</v>
      </c>
      <c r="J6" s="5" t="s">
        <v>222</v>
      </c>
      <c r="K6" s="5" t="s">
        <v>420</v>
      </c>
      <c r="L6" s="5">
        <f>_xlfn.XLOOKUP(TB_FNB[[#This Row],[MIS_Group1]],PL_Consol!B:B,PL_Consol!C:C)</f>
        <v>7</v>
      </c>
      <c r="M6" s="16">
        <v>0</v>
      </c>
      <c r="N6" s="16">
        <v>0</v>
      </c>
      <c r="O6" s="16">
        <v>-10546</v>
      </c>
      <c r="P6" s="16">
        <v>-5678</v>
      </c>
      <c r="Q6" s="16">
        <v>0</v>
      </c>
      <c r="R6" s="16">
        <v>-4795</v>
      </c>
      <c r="S6" s="16">
        <v>0</v>
      </c>
      <c r="T6" s="16">
        <v>-8712</v>
      </c>
      <c r="U6" s="16">
        <v>0</v>
      </c>
      <c r="V6" s="17">
        <v>-9830</v>
      </c>
      <c r="W6" s="17">
        <v>0</v>
      </c>
      <c r="X6" s="17">
        <v>-8780</v>
      </c>
      <c r="Y6" s="17">
        <f>SUM(TB_FNB[[#This Row],[Apr]:[Mar]])</f>
        <v>-48341</v>
      </c>
      <c r="Z6" s="46">
        <v>0</v>
      </c>
      <c r="AA6" s="46">
        <f>_xlfn.XLOOKUP(TB_FNB[[#This Row],[Description]],[4]TBScheduleWise.rpt!$G$1:$G$65536,[4]TBScheduleWise.rpt!$F$1:$F$65536,0)</f>
        <v>-9297</v>
      </c>
      <c r="AB6" s="46"/>
    </row>
    <row r="7" spans="2:28" x14ac:dyDescent="0.3">
      <c r="B7" s="5" t="s">
        <v>341</v>
      </c>
      <c r="C7" s="5" t="s">
        <v>2</v>
      </c>
      <c r="D7" s="5" t="s">
        <v>197</v>
      </c>
      <c r="E7" s="5" t="s">
        <v>381</v>
      </c>
      <c r="F7" s="5" t="s">
        <v>3</v>
      </c>
      <c r="G7" s="5" t="s">
        <v>12</v>
      </c>
      <c r="H7" s="5" t="s">
        <v>12</v>
      </c>
      <c r="I7" s="5" t="s">
        <v>538</v>
      </c>
      <c r="J7" s="5" t="s">
        <v>222</v>
      </c>
      <c r="K7" s="5" t="s">
        <v>421</v>
      </c>
      <c r="L7" s="5">
        <f>_xlfn.XLOOKUP(TB_FNB[[#This Row],[MIS_Group1]],PL_Consol!B:B,PL_Consol!C:C)</f>
        <v>7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7">
        <v>0</v>
      </c>
      <c r="W7" s="17">
        <v>0</v>
      </c>
      <c r="X7" s="17">
        <v>0</v>
      </c>
      <c r="Y7" s="17">
        <f>SUM(TB_FNB[[#This Row],[Apr]:[Mar]])</f>
        <v>0</v>
      </c>
      <c r="Z7" s="46">
        <v>0</v>
      </c>
      <c r="AA7" s="46">
        <f>_xlfn.XLOOKUP(TB_FNB[[#This Row],[Description]],[4]TBScheduleWise.rpt!$G$1:$G$65536,[4]TBScheduleWise.rpt!$F$1:$F$65536,0)</f>
        <v>0</v>
      </c>
      <c r="AB7" s="46"/>
    </row>
    <row r="8" spans="2:28" x14ac:dyDescent="0.3">
      <c r="B8" s="5" t="s">
        <v>342</v>
      </c>
      <c r="C8" s="5" t="s">
        <v>2</v>
      </c>
      <c r="D8" s="5" t="s">
        <v>197</v>
      </c>
      <c r="E8" s="5" t="s">
        <v>381</v>
      </c>
      <c r="F8" s="5" t="s">
        <v>3</v>
      </c>
      <c r="G8" s="5" t="s">
        <v>383</v>
      </c>
      <c r="H8" s="5" t="s">
        <v>383</v>
      </c>
      <c r="I8" s="5" t="s">
        <v>538</v>
      </c>
      <c r="J8" s="5" t="s">
        <v>508</v>
      </c>
      <c r="K8" s="5" t="s">
        <v>430</v>
      </c>
      <c r="L8" s="5">
        <f>_xlfn.XLOOKUP(TB_FNB[[#This Row],[MIS_Group1]],PL_Consol!B:B,PL_Consol!C:C)</f>
        <v>6</v>
      </c>
      <c r="M8" s="16">
        <v>-34830.18</v>
      </c>
      <c r="N8" s="16">
        <v>-32363.05</v>
      </c>
      <c r="O8" s="16">
        <v>-20671.419999999998</v>
      </c>
      <c r="P8" s="16">
        <v>-24158.73</v>
      </c>
      <c r="Q8" s="16">
        <v>-25605.73</v>
      </c>
      <c r="R8" s="16">
        <v>-16668.259999999998</v>
      </c>
      <c r="S8" s="16">
        <v>-1288.9000000000001</v>
      </c>
      <c r="T8" s="16">
        <v>0</v>
      </c>
      <c r="U8" s="16">
        <v>-71.42</v>
      </c>
      <c r="V8" s="17">
        <v>0</v>
      </c>
      <c r="W8" s="17">
        <v>0</v>
      </c>
      <c r="X8" s="17">
        <v>0</v>
      </c>
      <c r="Y8" s="17">
        <f>SUM(TB_FNB[[#This Row],[Apr]:[Mar]])</f>
        <v>-155657.69</v>
      </c>
      <c r="Z8" s="46">
        <v>0</v>
      </c>
      <c r="AA8" s="46">
        <f>_xlfn.XLOOKUP(TB_FNB[[#This Row],[Description]],[4]TBScheduleWise.rpt!$G$1:$G$65536,[4]TBScheduleWise.rpt!$F$1:$F$65536,0)</f>
        <v>0</v>
      </c>
      <c r="AB8" s="46"/>
    </row>
    <row r="9" spans="2:28" x14ac:dyDescent="0.3">
      <c r="B9" s="5" t="s">
        <v>343</v>
      </c>
      <c r="C9" s="5" t="s">
        <v>2</v>
      </c>
      <c r="D9" s="5" t="s">
        <v>197</v>
      </c>
      <c r="E9" s="5" t="s">
        <v>381</v>
      </c>
      <c r="F9" s="5" t="s">
        <v>3</v>
      </c>
      <c r="G9" s="5" t="s">
        <v>383</v>
      </c>
      <c r="H9" s="5" t="s">
        <v>383</v>
      </c>
      <c r="I9" s="5" t="s">
        <v>538</v>
      </c>
      <c r="J9" s="5" t="s">
        <v>508</v>
      </c>
      <c r="K9" s="5" t="s">
        <v>422</v>
      </c>
      <c r="L9" s="5">
        <f>_xlfn.XLOOKUP(TB_FNB[[#This Row],[MIS_Group1]],PL_Consol!B:B,PL_Consol!C:C)</f>
        <v>6</v>
      </c>
      <c r="M9" s="16">
        <v>-634883.12</v>
      </c>
      <c r="N9" s="16">
        <v>-699903.48</v>
      </c>
      <c r="O9" s="16">
        <v>-644242.09</v>
      </c>
      <c r="P9" s="16">
        <v>-702556.22</v>
      </c>
      <c r="Q9" s="16">
        <v>-609481.67000000004</v>
      </c>
      <c r="R9" s="16">
        <v>-616011.82999999996</v>
      </c>
      <c r="S9" s="16">
        <v>-630106.53</v>
      </c>
      <c r="T9" s="16">
        <v>-612617.53</v>
      </c>
      <c r="U9" s="16">
        <v>-914312.11</v>
      </c>
      <c r="V9" s="17">
        <v>-749551.99</v>
      </c>
      <c r="W9" s="17">
        <v>-615010.5</v>
      </c>
      <c r="X9" s="17">
        <v>-660733.37</v>
      </c>
      <c r="Y9" s="17">
        <f>SUM(TB_FNB[[#This Row],[Apr]:[Mar]])</f>
        <v>-8089410.4400000013</v>
      </c>
      <c r="Z9" s="46">
        <v>-646696.41</v>
      </c>
      <c r="AA9" s="46">
        <f>_xlfn.XLOOKUP(TB_FNB[[#This Row],[Description]],[4]TBScheduleWise.rpt!$G$1:$G$65536,[4]TBScheduleWise.rpt!$F$1:$F$65536,0)</f>
        <v>-641750.80000000005</v>
      </c>
      <c r="AB9" s="46"/>
    </row>
    <row r="10" spans="2:28" x14ac:dyDescent="0.3">
      <c r="B10" s="5" t="s">
        <v>344</v>
      </c>
      <c r="C10" s="5" t="s">
        <v>2</v>
      </c>
      <c r="D10" s="5" t="s">
        <v>197</v>
      </c>
      <c r="E10" s="5" t="s">
        <v>381</v>
      </c>
      <c r="F10" s="5" t="s">
        <v>3</v>
      </c>
      <c r="G10" s="5" t="s">
        <v>383</v>
      </c>
      <c r="H10" s="5" t="s">
        <v>383</v>
      </c>
      <c r="I10" s="5" t="s">
        <v>538</v>
      </c>
      <c r="J10" s="5" t="s">
        <v>508</v>
      </c>
      <c r="K10" s="5" t="s">
        <v>271</v>
      </c>
      <c r="L10" s="5">
        <f>_xlfn.XLOOKUP(TB_FNB[[#This Row],[MIS_Group1]],PL_Consol!B:B,PL_Consol!C:C)</f>
        <v>6</v>
      </c>
      <c r="M10" s="16">
        <v>-218719.32</v>
      </c>
      <c r="N10" s="16">
        <v>-122777.4</v>
      </c>
      <c r="O10" s="16">
        <v>-224470.08</v>
      </c>
      <c r="P10" s="16">
        <v>-169841</v>
      </c>
      <c r="Q10" s="16">
        <v>-80530.44</v>
      </c>
      <c r="R10" s="16">
        <v>-280555.62</v>
      </c>
      <c r="S10" s="16">
        <v>-169604.57</v>
      </c>
      <c r="T10" s="16">
        <v>-110648</v>
      </c>
      <c r="U10" s="16">
        <v>-87745.4</v>
      </c>
      <c r="V10" s="17">
        <v>-118142.75</v>
      </c>
      <c r="W10" s="17">
        <v>-116900</v>
      </c>
      <c r="X10" s="17">
        <v>-86128.45</v>
      </c>
      <c r="Y10" s="17">
        <f>SUM(TB_FNB[[#This Row],[Apr]:[Mar]])</f>
        <v>-1786063.0299999998</v>
      </c>
      <c r="Z10" s="46">
        <v>-14000</v>
      </c>
      <c r="AA10" s="46">
        <f>_xlfn.XLOOKUP(TB_FNB[[#This Row],[Description]],[4]TBScheduleWise.rpt!$G$1:$G$65536,[4]TBScheduleWise.rpt!$F$1:$F$65536,0)</f>
        <v>-155819.5</v>
      </c>
      <c r="AB10" s="46"/>
    </row>
    <row r="11" spans="2:28" x14ac:dyDescent="0.3">
      <c r="B11" s="5" t="s">
        <v>345</v>
      </c>
      <c r="C11" s="5" t="s">
        <v>2</v>
      </c>
      <c r="D11" s="5" t="s">
        <v>197</v>
      </c>
      <c r="E11" s="5" t="s">
        <v>381</v>
      </c>
      <c r="F11" s="5" t="s">
        <v>3</v>
      </c>
      <c r="G11" s="5" t="s">
        <v>383</v>
      </c>
      <c r="H11" s="5" t="s">
        <v>383</v>
      </c>
      <c r="I11" s="5" t="s">
        <v>538</v>
      </c>
      <c r="J11" s="5" t="s">
        <v>508</v>
      </c>
      <c r="K11" s="5" t="s">
        <v>425</v>
      </c>
      <c r="L11" s="5">
        <f>_xlfn.XLOOKUP(TB_FNB[[#This Row],[MIS_Group1]],PL_Consol!B:B,PL_Consol!C:C)</f>
        <v>6</v>
      </c>
      <c r="M11" s="16">
        <v>-1395600.44</v>
      </c>
      <c r="N11" s="16">
        <v>-1410762.03</v>
      </c>
      <c r="O11" s="16">
        <v>-1236708.32</v>
      </c>
      <c r="P11" s="16">
        <v>-1421961.13</v>
      </c>
      <c r="Q11" s="16">
        <v>-1303415.74</v>
      </c>
      <c r="R11" s="16">
        <v>-1372185.49</v>
      </c>
      <c r="S11" s="16">
        <v>-1271797.6399999999</v>
      </c>
      <c r="T11" s="16">
        <v>-1134843.1599999999</v>
      </c>
      <c r="U11" s="16">
        <v>-1160585.6399999999</v>
      </c>
      <c r="V11" s="17">
        <v>-1329343.1200000001</v>
      </c>
      <c r="W11" s="17">
        <v>-1135899.3899999999</v>
      </c>
      <c r="X11" s="17">
        <v>-1253930.0900000001</v>
      </c>
      <c r="Y11" s="17">
        <f>SUM(TB_FNB[[#This Row],[Apr]:[Mar]])</f>
        <v>-15427032.190000001</v>
      </c>
      <c r="Z11" s="46">
        <v>-1452816.56</v>
      </c>
      <c r="AA11" s="46">
        <f>_xlfn.XLOOKUP(TB_FNB[[#This Row],[Description]],[4]TBScheduleWise.rpt!$G$1:$G$65536,[4]TBScheduleWise.rpt!$F$1:$F$65536,0)</f>
        <v>-1598983.5</v>
      </c>
      <c r="AB11" s="46"/>
    </row>
    <row r="12" spans="2:28" x14ac:dyDescent="0.3">
      <c r="B12" s="5" t="s">
        <v>346</v>
      </c>
      <c r="C12" s="5" t="s">
        <v>2</v>
      </c>
      <c r="D12" s="5" t="s">
        <v>197</v>
      </c>
      <c r="E12" s="5" t="s">
        <v>381</v>
      </c>
      <c r="F12" s="5" t="s">
        <v>3</v>
      </c>
      <c r="G12" s="5" t="s">
        <v>383</v>
      </c>
      <c r="H12" s="5" t="s">
        <v>383</v>
      </c>
      <c r="I12" s="5" t="s">
        <v>538</v>
      </c>
      <c r="J12" s="5" t="s">
        <v>508</v>
      </c>
      <c r="K12" s="5" t="s">
        <v>431</v>
      </c>
      <c r="L12" s="5">
        <f>_xlfn.XLOOKUP(TB_FNB[[#This Row],[MIS_Group1]],PL_Consol!B:B,PL_Consol!C:C)</f>
        <v>6</v>
      </c>
      <c r="M12" s="16">
        <v>-316145.09999999998</v>
      </c>
      <c r="N12" s="16">
        <v>-337086.8</v>
      </c>
      <c r="O12" s="16">
        <v>-274640.17</v>
      </c>
      <c r="P12" s="16">
        <v>-351900.9</v>
      </c>
      <c r="Q12" s="16">
        <v>-379590.65</v>
      </c>
      <c r="R12" s="16">
        <v>-311499.55</v>
      </c>
      <c r="S12" s="16">
        <v>-280286.55</v>
      </c>
      <c r="T12" s="16">
        <v>-282051.84999999998</v>
      </c>
      <c r="U12" s="16">
        <v>-344144.52</v>
      </c>
      <c r="V12" s="17">
        <v>-421069.4</v>
      </c>
      <c r="W12" s="17">
        <v>-450194.68</v>
      </c>
      <c r="X12" s="17">
        <v>-385695.92</v>
      </c>
      <c r="Y12" s="17">
        <f>SUM(TB_FNB[[#This Row],[Apr]:[Mar]])</f>
        <v>-4134306.09</v>
      </c>
      <c r="Z12" s="46">
        <v>-494565.52</v>
      </c>
      <c r="AA12" s="46">
        <f>_xlfn.XLOOKUP(TB_FNB[[#This Row],[Description]],[4]TBScheduleWise.rpt!$G$1:$G$65536,[4]TBScheduleWise.rpt!$F$1:$F$65536,0)</f>
        <v>-491150.79</v>
      </c>
      <c r="AB12" s="46"/>
    </row>
    <row r="13" spans="2:28" x14ac:dyDescent="0.3">
      <c r="B13" s="5" t="s">
        <v>347</v>
      </c>
      <c r="C13" s="5" t="s">
        <v>2</v>
      </c>
      <c r="D13" s="5" t="s">
        <v>197</v>
      </c>
      <c r="E13" s="5" t="s">
        <v>381</v>
      </c>
      <c r="F13" s="5" t="s">
        <v>3</v>
      </c>
      <c r="G13" s="5" t="s">
        <v>383</v>
      </c>
      <c r="H13" s="5" t="s">
        <v>383</v>
      </c>
      <c r="I13" s="5" t="s">
        <v>538</v>
      </c>
      <c r="J13" s="5" t="s">
        <v>508</v>
      </c>
      <c r="K13" s="5" t="s">
        <v>425</v>
      </c>
      <c r="L13" s="5">
        <f>_xlfn.XLOOKUP(TB_FNB[[#This Row],[MIS_Group1]],PL_Consol!B:B,PL_Consol!C:C)</f>
        <v>6</v>
      </c>
      <c r="M13" s="16">
        <v>-4688015.33</v>
      </c>
      <c r="N13" s="16">
        <v>-5090936.9000000004</v>
      </c>
      <c r="O13" s="16">
        <v>-4763526.22</v>
      </c>
      <c r="P13" s="16">
        <v>-5666995.1600000001</v>
      </c>
      <c r="Q13" s="16">
        <v>-5769265.6500000004</v>
      </c>
      <c r="R13" s="16">
        <v>-5633540.8399999999</v>
      </c>
      <c r="S13" s="16">
        <v>-5523942.1100000003</v>
      </c>
      <c r="T13" s="16">
        <v>-5510057.4400000004</v>
      </c>
      <c r="U13" s="16">
        <v>-5229376.78</v>
      </c>
      <c r="V13" s="17">
        <v>-5546474.5199999996</v>
      </c>
      <c r="W13" s="17">
        <v>-4932421.55</v>
      </c>
      <c r="X13" s="17">
        <v>-5091479.5199999996</v>
      </c>
      <c r="Y13" s="17">
        <f>SUM(TB_FNB[[#This Row],[Apr]:[Mar]])</f>
        <v>-63446032.019999996</v>
      </c>
      <c r="Z13" s="46">
        <v>-5633682.3099999996</v>
      </c>
      <c r="AA13" s="46">
        <f>_xlfn.XLOOKUP(TB_FNB[[#This Row],[Description]],[4]TBScheduleWise.rpt!$G$1:$G$65536,[4]TBScheduleWise.rpt!$F$1:$F$65536,0)</f>
        <v>-6144088.6399999997</v>
      </c>
      <c r="AB13" s="46"/>
    </row>
    <row r="14" spans="2:28" x14ac:dyDescent="0.3">
      <c r="B14" s="5" t="s">
        <v>348</v>
      </c>
      <c r="C14" s="5" t="s">
        <v>2</v>
      </c>
      <c r="D14" s="5" t="s">
        <v>197</v>
      </c>
      <c r="E14" s="5" t="s">
        <v>381</v>
      </c>
      <c r="F14" s="5" t="s">
        <v>3</v>
      </c>
      <c r="G14" s="5" t="s">
        <v>383</v>
      </c>
      <c r="H14" s="5" t="s">
        <v>383</v>
      </c>
      <c r="I14" s="5" t="s">
        <v>538</v>
      </c>
      <c r="J14" s="5" t="s">
        <v>508</v>
      </c>
      <c r="K14" s="5" t="s">
        <v>431</v>
      </c>
      <c r="L14" s="5">
        <f>_xlfn.XLOOKUP(TB_FNB[[#This Row],[MIS_Group1]],PL_Consol!B:B,PL_Consol!C:C)</f>
        <v>6</v>
      </c>
      <c r="M14" s="16">
        <v>-2940610.52</v>
      </c>
      <c r="N14" s="16">
        <v>-3072999.34</v>
      </c>
      <c r="O14" s="16">
        <v>-3023105.6</v>
      </c>
      <c r="P14" s="16">
        <v>-3455798.29</v>
      </c>
      <c r="Q14" s="16">
        <v>-3434961.88</v>
      </c>
      <c r="R14" s="16">
        <v>-3208270.29</v>
      </c>
      <c r="S14" s="16">
        <v>-3508159.71</v>
      </c>
      <c r="T14" s="16">
        <v>-3162651.39</v>
      </c>
      <c r="U14" s="16">
        <v>-3361464.96</v>
      </c>
      <c r="V14" s="17">
        <v>-3820115.76</v>
      </c>
      <c r="W14" s="17">
        <v>-3386261.04</v>
      </c>
      <c r="X14" s="17">
        <v>-2884616.28</v>
      </c>
      <c r="Y14" s="17">
        <f>SUM(TB_FNB[[#This Row],[Apr]:[Mar]])</f>
        <v>-39259015.060000002</v>
      </c>
      <c r="Z14" s="46">
        <v>-3594248.81</v>
      </c>
      <c r="AA14" s="46">
        <f>_xlfn.XLOOKUP(TB_FNB[[#This Row],[Description]],[4]TBScheduleWise.rpt!$G$1:$G$65536,[4]TBScheduleWise.rpt!$F$1:$F$65536,0)</f>
        <v>-3732679.21</v>
      </c>
      <c r="AB14" s="46"/>
    </row>
    <row r="15" spans="2:28" x14ac:dyDescent="0.3">
      <c r="B15" s="5" t="s">
        <v>349</v>
      </c>
      <c r="C15" s="5" t="s">
        <v>2</v>
      </c>
      <c r="D15" s="5" t="s">
        <v>197</v>
      </c>
      <c r="E15" s="5" t="s">
        <v>381</v>
      </c>
      <c r="F15" s="5" t="s">
        <v>3</v>
      </c>
      <c r="G15" s="5" t="s">
        <v>383</v>
      </c>
      <c r="H15" s="5" t="s">
        <v>383</v>
      </c>
      <c r="I15" s="5" t="s">
        <v>538</v>
      </c>
      <c r="J15" s="5" t="s">
        <v>508</v>
      </c>
      <c r="K15" s="5" t="s">
        <v>431</v>
      </c>
      <c r="L15" s="5">
        <f>_xlfn.XLOOKUP(TB_FNB[[#This Row],[MIS_Group1]],PL_Consol!B:B,PL_Consol!C:C)</f>
        <v>6</v>
      </c>
      <c r="M15" s="16">
        <v>-276651</v>
      </c>
      <c r="N15" s="16">
        <v>-311082</v>
      </c>
      <c r="O15" s="16">
        <v>-264740.5</v>
      </c>
      <c r="P15" s="16">
        <v>-331113</v>
      </c>
      <c r="Q15" s="16">
        <v>-381623.5</v>
      </c>
      <c r="R15" s="16">
        <v>-350805.5</v>
      </c>
      <c r="S15" s="16">
        <v>-332342</v>
      </c>
      <c r="T15" s="16">
        <v>-303824</v>
      </c>
      <c r="U15" s="16">
        <v>-292236</v>
      </c>
      <c r="V15" s="17">
        <v>-344041</v>
      </c>
      <c r="W15" s="17">
        <v>-327250</v>
      </c>
      <c r="X15" s="17">
        <v>-270355.5</v>
      </c>
      <c r="Y15" s="17">
        <f>SUM(TB_FNB[[#This Row],[Apr]:[Mar]])</f>
        <v>-3786064</v>
      </c>
      <c r="Z15" s="46">
        <v>-337089</v>
      </c>
      <c r="AA15" s="46">
        <f>_xlfn.XLOOKUP(TB_FNB[[#This Row],[Description]],[4]TBScheduleWise.rpt!$G$1:$G$65536,[4]TBScheduleWise.rpt!$F$1:$F$65536,0)</f>
        <v>-362863</v>
      </c>
      <c r="AB15" s="46"/>
    </row>
    <row r="16" spans="2:28" x14ac:dyDescent="0.3">
      <c r="B16" s="5" t="s">
        <v>350</v>
      </c>
      <c r="C16" s="5" t="s">
        <v>2</v>
      </c>
      <c r="D16" s="5" t="s">
        <v>197</v>
      </c>
      <c r="E16" s="5" t="s">
        <v>381</v>
      </c>
      <c r="F16" s="5" t="s">
        <v>3</v>
      </c>
      <c r="G16" s="5" t="s">
        <v>383</v>
      </c>
      <c r="H16" s="5" t="s">
        <v>383</v>
      </c>
      <c r="I16" s="5" t="s">
        <v>538</v>
      </c>
      <c r="J16" s="5" t="s">
        <v>508</v>
      </c>
      <c r="K16" s="5" t="s">
        <v>431</v>
      </c>
      <c r="L16" s="5">
        <f>_xlfn.XLOOKUP(TB_FNB[[#This Row],[MIS_Group1]],PL_Consol!B:B,PL_Consol!C:C)</f>
        <v>6</v>
      </c>
      <c r="M16" s="16">
        <v>-2158552</v>
      </c>
      <c r="N16" s="16">
        <v>-2345723</v>
      </c>
      <c r="O16" s="16">
        <v>-2083602.5</v>
      </c>
      <c r="P16" s="16">
        <v>-2576132.5</v>
      </c>
      <c r="Q16" s="16">
        <v>-2676858</v>
      </c>
      <c r="R16" s="16">
        <v>-2468726.5</v>
      </c>
      <c r="S16" s="16">
        <v>-2406638</v>
      </c>
      <c r="T16" s="16">
        <v>-2140097.5</v>
      </c>
      <c r="U16" s="16">
        <v>-2201551</v>
      </c>
      <c r="V16" s="17">
        <v>-2567236.5</v>
      </c>
      <c r="W16" s="17">
        <v>-2633183</v>
      </c>
      <c r="X16" s="17">
        <v>-2088905</v>
      </c>
      <c r="Y16" s="17">
        <f>SUM(TB_FNB[[#This Row],[Apr]:[Mar]])</f>
        <v>-28347205.5</v>
      </c>
      <c r="Z16" s="46">
        <v>-2693112</v>
      </c>
      <c r="AA16" s="46">
        <f>_xlfn.XLOOKUP(TB_FNB[[#This Row],[Description]],[4]TBScheduleWise.rpt!$G$1:$G$65536,[4]TBScheduleWise.rpt!$F$1:$F$65536,0)</f>
        <v>-2813626</v>
      </c>
      <c r="AB16" s="46"/>
    </row>
    <row r="17" spans="2:28" x14ac:dyDescent="0.3">
      <c r="B17" s="5" t="s">
        <v>351</v>
      </c>
      <c r="C17" s="5" t="s">
        <v>2</v>
      </c>
      <c r="D17" s="5" t="s">
        <v>197</v>
      </c>
      <c r="E17" s="5" t="s">
        <v>381</v>
      </c>
      <c r="F17" s="5" t="s">
        <v>3</v>
      </c>
      <c r="G17" s="5" t="s">
        <v>383</v>
      </c>
      <c r="H17" s="5" t="s">
        <v>383</v>
      </c>
      <c r="I17" s="5" t="s">
        <v>538</v>
      </c>
      <c r="J17" s="5" t="s">
        <v>508</v>
      </c>
      <c r="K17" s="5" t="s">
        <v>430</v>
      </c>
      <c r="L17" s="5">
        <f>_xlfn.XLOOKUP(TB_FNB[[#This Row],[MIS_Group1]],PL_Consol!B:B,PL_Consol!C:C)</f>
        <v>6</v>
      </c>
      <c r="M17" s="16">
        <v>-1931.61</v>
      </c>
      <c r="N17" s="16">
        <v>-2190</v>
      </c>
      <c r="O17" s="16">
        <v>-1860</v>
      </c>
      <c r="P17" s="16">
        <v>-3638.99</v>
      </c>
      <c r="Q17" s="16">
        <v>-2101.11</v>
      </c>
      <c r="R17" s="16">
        <v>-3071.73</v>
      </c>
      <c r="S17" s="16">
        <v>-2182.6799999999998</v>
      </c>
      <c r="T17" s="16">
        <v>-2293.0500000000002</v>
      </c>
      <c r="U17" s="16">
        <v>-2721.6</v>
      </c>
      <c r="V17" s="17">
        <v>-2448.5</v>
      </c>
      <c r="W17" s="17">
        <v>-2260.7600000000002</v>
      </c>
      <c r="X17" s="17">
        <v>-1566.51</v>
      </c>
      <c r="Y17" s="17">
        <f>SUM(TB_FNB[[#This Row],[Apr]:[Mar]])</f>
        <v>-28266.539999999997</v>
      </c>
      <c r="Z17" s="46">
        <v>-2678.5</v>
      </c>
      <c r="AA17" s="46">
        <f>_xlfn.XLOOKUP(TB_FNB[[#This Row],[Description]],[4]TBScheduleWise.rpt!$G$1:$G$65536,[4]TBScheduleWise.rpt!$F$1:$F$65536,0)</f>
        <v>-2801.3</v>
      </c>
      <c r="AB17" s="46"/>
    </row>
    <row r="18" spans="2:28" x14ac:dyDescent="0.3">
      <c r="B18" s="5" t="s">
        <v>352</v>
      </c>
      <c r="C18" s="5" t="s">
        <v>2</v>
      </c>
      <c r="D18" s="5" t="s">
        <v>197</v>
      </c>
      <c r="E18" s="5" t="s">
        <v>381</v>
      </c>
      <c r="F18" s="5" t="s">
        <v>3</v>
      </c>
      <c r="G18" s="5" t="s">
        <v>383</v>
      </c>
      <c r="H18" s="5" t="s">
        <v>383</v>
      </c>
      <c r="I18" s="5" t="s">
        <v>538</v>
      </c>
      <c r="J18" s="5" t="s">
        <v>508</v>
      </c>
      <c r="K18" s="5" t="s">
        <v>430</v>
      </c>
      <c r="L18" s="5">
        <f>_xlfn.XLOOKUP(TB_FNB[[#This Row],[MIS_Group1]],PL_Consol!B:B,PL_Consol!C:C)</f>
        <v>6</v>
      </c>
      <c r="M18" s="16">
        <v>-170538.06</v>
      </c>
      <c r="N18" s="16">
        <v>-189243.99</v>
      </c>
      <c r="O18" s="16">
        <v>-136117.44</v>
      </c>
      <c r="P18" s="16">
        <v>-155183.20000000001</v>
      </c>
      <c r="Q18" s="16">
        <v>-165329.56</v>
      </c>
      <c r="R18" s="16">
        <v>-92468.65</v>
      </c>
      <c r="S18" s="16">
        <v>-2904.89</v>
      </c>
      <c r="T18" s="16">
        <v>-53.96</v>
      </c>
      <c r="U18" s="16">
        <v>0</v>
      </c>
      <c r="V18" s="17">
        <v>0</v>
      </c>
      <c r="W18" s="17">
        <v>0</v>
      </c>
      <c r="X18" s="17">
        <v>0</v>
      </c>
      <c r="Y18" s="17">
        <f>SUM(TB_FNB[[#This Row],[Apr]:[Mar]])</f>
        <v>-911839.75</v>
      </c>
      <c r="Z18" s="46">
        <v>0</v>
      </c>
      <c r="AA18" s="46">
        <f>_xlfn.XLOOKUP(TB_FNB[[#This Row],[Description]],[4]TBScheduleWise.rpt!$G$1:$G$65536,[4]TBScheduleWise.rpt!$F$1:$F$65536,0)</f>
        <v>-38.08</v>
      </c>
      <c r="AB18" s="46"/>
    </row>
    <row r="19" spans="2:28" x14ac:dyDescent="0.3">
      <c r="B19" s="5" t="s">
        <v>353</v>
      </c>
      <c r="C19" s="5" t="s">
        <v>2</v>
      </c>
      <c r="D19" s="5" t="s">
        <v>197</v>
      </c>
      <c r="E19" s="5" t="s">
        <v>381</v>
      </c>
      <c r="F19" s="5" t="s">
        <v>3</v>
      </c>
      <c r="G19" s="5" t="s">
        <v>383</v>
      </c>
      <c r="H19" s="5" t="s">
        <v>383</v>
      </c>
      <c r="I19" s="5" t="s">
        <v>538</v>
      </c>
      <c r="J19" s="5" t="s">
        <v>508</v>
      </c>
      <c r="K19" s="5" t="s">
        <v>430</v>
      </c>
      <c r="L19" s="5">
        <f>_xlfn.XLOOKUP(TB_FNB[[#This Row],[MIS_Group1]],PL_Consol!B:B,PL_Consol!C:C)</f>
        <v>6</v>
      </c>
      <c r="M19" s="16">
        <v>-161600.47</v>
      </c>
      <c r="N19" s="16">
        <v>-166976.16</v>
      </c>
      <c r="O19" s="16">
        <v>-134380.73000000001</v>
      </c>
      <c r="P19" s="16">
        <v>-160049.54</v>
      </c>
      <c r="Q19" s="16">
        <v>-166888.69</v>
      </c>
      <c r="R19" s="16">
        <v>-57437.87</v>
      </c>
      <c r="S19" s="16">
        <v>-10387.16</v>
      </c>
      <c r="T19" s="16">
        <v>-8060.63</v>
      </c>
      <c r="U19" s="16">
        <v>-8896.1200000000008</v>
      </c>
      <c r="V19" s="17">
        <v>-2188.6</v>
      </c>
      <c r="W19" s="17">
        <v>-886.01</v>
      </c>
      <c r="X19" s="17">
        <v>-2475.66</v>
      </c>
      <c r="Y19" s="17">
        <f>SUM(TB_FNB[[#This Row],[Apr]:[Mar]])</f>
        <v>-880227.64000000013</v>
      </c>
      <c r="Z19" s="46">
        <v>-4853.3</v>
      </c>
      <c r="AA19" s="46">
        <f>_xlfn.XLOOKUP(TB_FNB[[#This Row],[Description]],[4]TBScheduleWise.rpt!$G$1:$G$65536,[4]TBScheduleWise.rpt!$F$1:$F$65536,0)</f>
        <v>-7188.87</v>
      </c>
      <c r="AB19" s="46"/>
    </row>
    <row r="20" spans="2:28" x14ac:dyDescent="0.3">
      <c r="B20" s="5" t="s">
        <v>354</v>
      </c>
      <c r="C20" s="5" t="s">
        <v>2</v>
      </c>
      <c r="D20" s="5" t="s">
        <v>197</v>
      </c>
      <c r="E20" s="5" t="s">
        <v>381</v>
      </c>
      <c r="F20" s="5" t="s">
        <v>3</v>
      </c>
      <c r="G20" s="5" t="s">
        <v>383</v>
      </c>
      <c r="H20" s="5" t="s">
        <v>383</v>
      </c>
      <c r="I20" s="5" t="s">
        <v>538</v>
      </c>
      <c r="J20" s="5" t="s">
        <v>508</v>
      </c>
      <c r="K20" s="5" t="s">
        <v>430</v>
      </c>
      <c r="L20" s="5">
        <f>_xlfn.XLOOKUP(TB_FNB[[#This Row],[MIS_Group1]],PL_Consol!B:B,PL_Consol!C:C)</f>
        <v>6</v>
      </c>
      <c r="M20" s="16">
        <v>0</v>
      </c>
      <c r="N20" s="16">
        <v>-182.79</v>
      </c>
      <c r="O20" s="16">
        <v>0</v>
      </c>
      <c r="P20" s="16">
        <v>0</v>
      </c>
      <c r="Q20" s="16">
        <v>0</v>
      </c>
      <c r="R20" s="16">
        <v>-91500.35</v>
      </c>
      <c r="S20" s="16">
        <v>-233468.9</v>
      </c>
      <c r="T20" s="16">
        <v>-234743.66</v>
      </c>
      <c r="U20" s="16">
        <v>-227242.88</v>
      </c>
      <c r="V20" s="17">
        <v>-259882.53</v>
      </c>
      <c r="W20" s="17">
        <v>-270917.38</v>
      </c>
      <c r="X20" s="17">
        <v>-303598.28999999998</v>
      </c>
      <c r="Y20" s="17">
        <f>SUM(TB_FNB[[#This Row],[Apr]:[Mar]])</f>
        <v>-1621536.78</v>
      </c>
      <c r="Z20" s="46">
        <v>-333501.78000000003</v>
      </c>
      <c r="AA20" s="46">
        <f>_xlfn.XLOOKUP(TB_FNB[[#This Row],[Description]],[4]TBScheduleWise.rpt!$G$1:$G$65536,[4]TBScheduleWise.rpt!$F$1:$F$65536,0)</f>
        <v>-349879.14</v>
      </c>
      <c r="AB20" s="46"/>
    </row>
    <row r="21" spans="2:28" x14ac:dyDescent="0.3">
      <c r="B21" s="5" t="s">
        <v>355</v>
      </c>
      <c r="C21" s="5" t="s">
        <v>2</v>
      </c>
      <c r="D21" s="5" t="s">
        <v>197</v>
      </c>
      <c r="E21" s="5" t="s">
        <v>381</v>
      </c>
      <c r="F21" s="5" t="s">
        <v>3</v>
      </c>
      <c r="G21" s="5" t="s">
        <v>383</v>
      </c>
      <c r="H21" s="5" t="s">
        <v>383</v>
      </c>
      <c r="I21" s="5" t="s">
        <v>538</v>
      </c>
      <c r="J21" s="5" t="s">
        <v>508</v>
      </c>
      <c r="K21" s="5" t="s">
        <v>424</v>
      </c>
      <c r="L21" s="5">
        <f>_xlfn.XLOOKUP(TB_FNB[[#This Row],[MIS_Group1]],PL_Consol!B:B,PL_Consol!C:C)</f>
        <v>6</v>
      </c>
      <c r="M21" s="16">
        <v>-319730.53999999998</v>
      </c>
      <c r="N21" s="16">
        <v>-354395.55</v>
      </c>
      <c r="O21" s="16">
        <v>-278887.23</v>
      </c>
      <c r="P21" s="16">
        <v>-278523.06</v>
      </c>
      <c r="Q21" s="16">
        <v>-270365.88</v>
      </c>
      <c r="R21" s="16">
        <v>-240631.46</v>
      </c>
      <c r="S21" s="16">
        <v>-264619.96999999997</v>
      </c>
      <c r="T21" s="16">
        <v>-250719.53</v>
      </c>
      <c r="U21" s="16">
        <v>-263329.93</v>
      </c>
      <c r="V21" s="17">
        <v>-322590.03999999998</v>
      </c>
      <c r="W21" s="17">
        <v>-288278.53000000003</v>
      </c>
      <c r="X21" s="17">
        <v>-316423.21000000002</v>
      </c>
      <c r="Y21" s="17">
        <f>SUM(TB_FNB[[#This Row],[Apr]:[Mar]])</f>
        <v>-3448494.9299999997</v>
      </c>
      <c r="Z21" s="46">
        <v>-322707.26</v>
      </c>
      <c r="AA21" s="46">
        <f>_xlfn.XLOOKUP(TB_FNB[[#This Row],[Description]],[4]TBScheduleWise.rpt!$G$1:$G$65536,[4]TBScheduleWise.rpt!$F$1:$F$65536,0)</f>
        <v>-344450.4</v>
      </c>
      <c r="AB21" s="46"/>
    </row>
    <row r="22" spans="2:28" x14ac:dyDescent="0.3">
      <c r="B22" s="5" t="s">
        <v>356</v>
      </c>
      <c r="C22" s="5" t="s">
        <v>2</v>
      </c>
      <c r="D22" s="5" t="s">
        <v>197</v>
      </c>
      <c r="E22" s="5" t="s">
        <v>381</v>
      </c>
      <c r="F22" s="5" t="s">
        <v>3</v>
      </c>
      <c r="G22" s="5" t="s">
        <v>384</v>
      </c>
      <c r="H22" s="5" t="s">
        <v>384</v>
      </c>
      <c r="I22" s="5" t="s">
        <v>538</v>
      </c>
      <c r="J22" s="5" t="s">
        <v>508</v>
      </c>
      <c r="K22" s="5" t="s">
        <v>425</v>
      </c>
      <c r="L22" s="5">
        <f>_xlfn.XLOOKUP(TB_FNB[[#This Row],[MIS_Group1]],PL_Consol!B:B,PL_Consol!C:C)</f>
        <v>6</v>
      </c>
      <c r="M22" s="16">
        <v>-38.1</v>
      </c>
      <c r="N22" s="16">
        <v>-19.05</v>
      </c>
      <c r="O22" s="16">
        <v>0</v>
      </c>
      <c r="P22" s="16">
        <v>0</v>
      </c>
      <c r="Q22" s="16">
        <v>0</v>
      </c>
      <c r="R22" s="16">
        <v>-27.13</v>
      </c>
      <c r="S22" s="16">
        <v>0</v>
      </c>
      <c r="T22" s="16">
        <v>-9.52</v>
      </c>
      <c r="U22" s="16">
        <v>0</v>
      </c>
      <c r="V22" s="17">
        <v>0</v>
      </c>
      <c r="W22" s="17">
        <v>0</v>
      </c>
      <c r="X22" s="17">
        <v>0</v>
      </c>
      <c r="Y22" s="17">
        <f>SUM(TB_FNB[[#This Row],[Apr]:[Mar]])</f>
        <v>-93.8</v>
      </c>
      <c r="Z22" s="46">
        <v>0</v>
      </c>
      <c r="AA22" s="46">
        <f>_xlfn.XLOOKUP(TB_FNB[[#This Row],[Description]],[4]TBScheduleWise.rpt!$G$1:$G$65536,[4]TBScheduleWise.rpt!$F$1:$F$65536,0)</f>
        <v>0</v>
      </c>
      <c r="AB22" s="46"/>
    </row>
    <row r="23" spans="2:28" x14ac:dyDescent="0.3">
      <c r="B23" s="5" t="s">
        <v>357</v>
      </c>
      <c r="C23" s="5" t="s">
        <v>2</v>
      </c>
      <c r="D23" s="5" t="s">
        <v>198</v>
      </c>
      <c r="E23" s="5" t="s">
        <v>385</v>
      </c>
      <c r="F23" s="5" t="s">
        <v>386</v>
      </c>
      <c r="G23" s="5" t="s">
        <v>387</v>
      </c>
      <c r="H23" s="5" t="s">
        <v>387</v>
      </c>
      <c r="I23" s="5" t="s">
        <v>538</v>
      </c>
      <c r="J23" s="5" t="s">
        <v>268</v>
      </c>
      <c r="K23" s="5" t="s">
        <v>432</v>
      </c>
      <c r="L23" s="5">
        <f>_xlfn.XLOOKUP(TB_FNB[[#This Row],[MIS_Group1]],PL_Consol!B:B,PL_Consol!C:C)</f>
        <v>8</v>
      </c>
      <c r="M23" s="16">
        <v>807706.64</v>
      </c>
      <c r="N23" s="16">
        <v>949437.35</v>
      </c>
      <c r="O23" s="16">
        <v>868518</v>
      </c>
      <c r="P23" s="16">
        <v>1032355.15</v>
      </c>
      <c r="Q23" s="16">
        <v>1141204.48</v>
      </c>
      <c r="R23" s="16">
        <v>1113639.45</v>
      </c>
      <c r="S23" s="16">
        <v>1062686.95</v>
      </c>
      <c r="T23" s="16">
        <v>1050766.75</v>
      </c>
      <c r="U23" s="16">
        <v>1078897.22</v>
      </c>
      <c r="V23" s="17">
        <v>1113904.6499999999</v>
      </c>
      <c r="W23" s="17">
        <v>985330.44</v>
      </c>
      <c r="X23" s="17">
        <v>1027829.94</v>
      </c>
      <c r="Y23" s="17">
        <f>SUM(TB_FNB[[#This Row],[Apr]:[Mar]])</f>
        <v>12232277.02</v>
      </c>
      <c r="Z23" s="46">
        <v>1078312.75</v>
      </c>
      <c r="AA23" s="46">
        <f>_xlfn.XLOOKUP(TB_FNB[[#This Row],[Description]],[4]TBScheduleWise.rpt!$G$1:$G$65536,[4]TBScheduleWise.rpt!$F$1:$F$65536,0)</f>
        <v>1168232.74</v>
      </c>
      <c r="AB23" s="46"/>
    </row>
    <row r="24" spans="2:28" x14ac:dyDescent="0.3">
      <c r="B24" s="5" t="s">
        <v>358</v>
      </c>
      <c r="C24" s="5" t="s">
        <v>2</v>
      </c>
      <c r="D24" s="5" t="s">
        <v>198</v>
      </c>
      <c r="E24" s="5" t="s">
        <v>385</v>
      </c>
      <c r="F24" s="5" t="s">
        <v>386</v>
      </c>
      <c r="G24" s="5" t="s">
        <v>387</v>
      </c>
      <c r="H24" s="5" t="s">
        <v>387</v>
      </c>
      <c r="I24" s="5" t="s">
        <v>538</v>
      </c>
      <c r="J24" s="5" t="s">
        <v>268</v>
      </c>
      <c r="K24" s="5" t="s">
        <v>433</v>
      </c>
      <c r="L24" s="5">
        <f>_xlfn.XLOOKUP(TB_FNB[[#This Row],[MIS_Group1]],PL_Consol!B:B,PL_Consol!C:C)</f>
        <v>8</v>
      </c>
      <c r="M24" s="16">
        <v>287121.21000000002</v>
      </c>
      <c r="N24" s="16">
        <v>304025.28999999998</v>
      </c>
      <c r="O24" s="16">
        <v>220914.51</v>
      </c>
      <c r="P24" s="16">
        <v>255852.98</v>
      </c>
      <c r="Q24" s="16">
        <v>289117.98</v>
      </c>
      <c r="R24" s="16">
        <v>204824.28</v>
      </c>
      <c r="S24" s="16">
        <v>266520.13</v>
      </c>
      <c r="T24" s="16">
        <v>195485.99</v>
      </c>
      <c r="U24" s="16">
        <v>244200.53</v>
      </c>
      <c r="V24" s="17">
        <v>286893.06</v>
      </c>
      <c r="W24" s="17">
        <v>241142.92</v>
      </c>
      <c r="X24" s="17">
        <v>266821.58</v>
      </c>
      <c r="Y24" s="17">
        <f>SUM(TB_FNB[[#This Row],[Apr]:[Mar]])</f>
        <v>3062920.46</v>
      </c>
      <c r="Z24" s="46">
        <v>305659.78999999998</v>
      </c>
      <c r="AA24" s="46">
        <f>_xlfn.XLOOKUP(TB_FNB[[#This Row],[Description]],[4]TBScheduleWise.rpt!$G$1:$G$65536,[4]TBScheduleWise.rpt!$F$1:$F$65536,0)</f>
        <v>291932.32</v>
      </c>
      <c r="AB24" s="46"/>
    </row>
    <row r="25" spans="2:28" x14ac:dyDescent="0.3">
      <c r="B25" s="5" t="s">
        <v>359</v>
      </c>
      <c r="C25" s="5" t="s">
        <v>2</v>
      </c>
      <c r="D25" s="5" t="s">
        <v>198</v>
      </c>
      <c r="E25" s="5" t="s">
        <v>385</v>
      </c>
      <c r="F25" s="5" t="s">
        <v>386</v>
      </c>
      <c r="G25" s="5" t="s">
        <v>387</v>
      </c>
      <c r="H25" s="5" t="s">
        <v>387</v>
      </c>
      <c r="I25" s="5" t="s">
        <v>538</v>
      </c>
      <c r="J25" s="5" t="s">
        <v>268</v>
      </c>
      <c r="K25" s="5" t="s">
        <v>434</v>
      </c>
      <c r="L25" s="5">
        <f>_xlfn.XLOOKUP(TB_FNB[[#This Row],[MIS_Group1]],PL_Consol!B:B,PL_Consol!C:C)</f>
        <v>8</v>
      </c>
      <c r="M25" s="16">
        <v>1256397.8500000001</v>
      </c>
      <c r="N25" s="16">
        <v>1548354.82</v>
      </c>
      <c r="O25" s="16">
        <v>1455749.33</v>
      </c>
      <c r="P25" s="16">
        <v>1580643.7</v>
      </c>
      <c r="Q25" s="16">
        <v>1556243.09</v>
      </c>
      <c r="R25" s="16">
        <v>1432843.1</v>
      </c>
      <c r="S25" s="16">
        <v>1551966.91</v>
      </c>
      <c r="T25" s="16">
        <v>1571601.35</v>
      </c>
      <c r="U25" s="16">
        <v>1598558.75</v>
      </c>
      <c r="V25" s="17">
        <v>1702865.36</v>
      </c>
      <c r="W25" s="17">
        <v>1465920.68</v>
      </c>
      <c r="X25" s="17">
        <v>1314475.1299999999</v>
      </c>
      <c r="Y25" s="17">
        <f>SUM(TB_FNB[[#This Row],[Apr]:[Mar]])</f>
        <v>18035620.07</v>
      </c>
      <c r="Z25" s="46">
        <v>1483960.2</v>
      </c>
      <c r="AA25" s="46">
        <f>_xlfn.XLOOKUP(TB_FNB[[#This Row],[Description]],[4]TBScheduleWise.rpt!$G$1:$G$65536,[4]TBScheduleWise.rpt!$F$1:$F$65536,0)</f>
        <v>1766622.9</v>
      </c>
      <c r="AB25" s="46"/>
    </row>
    <row r="26" spans="2:28" x14ac:dyDescent="0.3">
      <c r="B26" s="5" t="s">
        <v>360</v>
      </c>
      <c r="C26" s="5" t="s">
        <v>2</v>
      </c>
      <c r="D26" s="5" t="s">
        <v>198</v>
      </c>
      <c r="E26" s="5" t="s">
        <v>385</v>
      </c>
      <c r="F26" s="5" t="s">
        <v>386</v>
      </c>
      <c r="G26" s="5" t="s">
        <v>387</v>
      </c>
      <c r="H26" s="5" t="s">
        <v>387</v>
      </c>
      <c r="I26" s="5" t="s">
        <v>538</v>
      </c>
      <c r="J26" s="5" t="s">
        <v>268</v>
      </c>
      <c r="K26" s="5" t="s">
        <v>435</v>
      </c>
      <c r="L26" s="5">
        <f>_xlfn.XLOOKUP(TB_FNB[[#This Row],[MIS_Group1]],PL_Consol!B:B,PL_Consol!C:C)</f>
        <v>8</v>
      </c>
      <c r="M26" s="16">
        <v>557560.18999999994</v>
      </c>
      <c r="N26" s="16">
        <v>660585.80000000005</v>
      </c>
      <c r="O26" s="16">
        <v>544867.11</v>
      </c>
      <c r="P26" s="16">
        <v>640382.66</v>
      </c>
      <c r="Q26" s="16">
        <v>617611.62</v>
      </c>
      <c r="R26" s="16">
        <v>517569.78</v>
      </c>
      <c r="S26" s="16">
        <v>616703.15</v>
      </c>
      <c r="T26" s="16">
        <v>551711.18000000005</v>
      </c>
      <c r="U26" s="16">
        <v>610997.42000000004</v>
      </c>
      <c r="V26" s="17">
        <v>654283.24</v>
      </c>
      <c r="W26" s="17">
        <v>586622.53</v>
      </c>
      <c r="X26" s="17">
        <v>697690.34</v>
      </c>
      <c r="Y26" s="17">
        <f>SUM(TB_FNB[[#This Row],[Apr]:[Mar]])</f>
        <v>7256585.0200000005</v>
      </c>
      <c r="Z26" s="46">
        <v>731999.7</v>
      </c>
      <c r="AA26" s="46">
        <f>_xlfn.XLOOKUP(TB_FNB[[#This Row],[Description]],[4]TBScheduleWise.rpt!$G$1:$G$65536,[4]TBScheduleWise.rpt!$F$1:$F$65536,0)</f>
        <v>1196960.6200000001</v>
      </c>
      <c r="AB26" s="46"/>
    </row>
    <row r="27" spans="2:28" x14ac:dyDescent="0.3">
      <c r="B27" s="5" t="s">
        <v>361</v>
      </c>
      <c r="C27" s="5" t="s">
        <v>2</v>
      </c>
      <c r="D27" s="5" t="s">
        <v>198</v>
      </c>
      <c r="E27" s="5" t="s">
        <v>385</v>
      </c>
      <c r="F27" s="5" t="s">
        <v>386</v>
      </c>
      <c r="G27" s="5" t="s">
        <v>387</v>
      </c>
      <c r="H27" s="5" t="s">
        <v>387</v>
      </c>
      <c r="I27" s="5" t="s">
        <v>538</v>
      </c>
      <c r="J27" s="5" t="s">
        <v>268</v>
      </c>
      <c r="K27" s="5" t="s">
        <v>436</v>
      </c>
      <c r="L27" s="5">
        <f>_xlfn.XLOOKUP(TB_FNB[[#This Row],[MIS_Group1]],PL_Consol!B:B,PL_Consol!C:C)</f>
        <v>8</v>
      </c>
      <c r="M27" s="16">
        <v>889086.08</v>
      </c>
      <c r="N27" s="16">
        <v>983442.89</v>
      </c>
      <c r="O27" s="16">
        <v>933350.79</v>
      </c>
      <c r="P27" s="16">
        <v>1018739.57</v>
      </c>
      <c r="Q27" s="16">
        <v>1092483.18</v>
      </c>
      <c r="R27" s="16">
        <v>1042429.65</v>
      </c>
      <c r="S27" s="16">
        <v>1104189.6599999999</v>
      </c>
      <c r="T27" s="16">
        <v>1043676.41</v>
      </c>
      <c r="U27" s="16">
        <v>1129097.57</v>
      </c>
      <c r="V27" s="17">
        <v>1170068.8700000001</v>
      </c>
      <c r="W27" s="17">
        <v>1090840.57</v>
      </c>
      <c r="X27" s="17">
        <v>1069638.3700000001</v>
      </c>
      <c r="Y27" s="17">
        <f>SUM(TB_FNB[[#This Row],[Apr]:[Mar]])</f>
        <v>12567043.610000003</v>
      </c>
      <c r="Z27" s="46">
        <v>1093589.3400000001</v>
      </c>
      <c r="AA27" s="46">
        <f>_xlfn.XLOOKUP(TB_FNB[[#This Row],[Description]],[4]TBScheduleWise.rpt!$G$1:$G$65536,[4]TBScheduleWise.rpt!$F$1:$F$65536,0)</f>
        <v>1162636.77</v>
      </c>
      <c r="AB27" s="46"/>
    </row>
    <row r="28" spans="2:28" x14ac:dyDescent="0.3">
      <c r="B28" s="5" t="s">
        <v>362</v>
      </c>
      <c r="C28" s="5" t="s">
        <v>2</v>
      </c>
      <c r="D28" s="5" t="s">
        <v>198</v>
      </c>
      <c r="E28" s="5" t="s">
        <v>385</v>
      </c>
      <c r="F28" s="5" t="s">
        <v>386</v>
      </c>
      <c r="G28" s="5" t="s">
        <v>387</v>
      </c>
      <c r="H28" s="5" t="s">
        <v>387</v>
      </c>
      <c r="I28" s="5" t="s">
        <v>538</v>
      </c>
      <c r="J28" s="5" t="s">
        <v>268</v>
      </c>
      <c r="K28" s="5" t="s">
        <v>437</v>
      </c>
      <c r="L28" s="5">
        <f>_xlfn.XLOOKUP(TB_FNB[[#This Row],[MIS_Group1]],PL_Consol!B:B,PL_Consol!C:C)</f>
        <v>8</v>
      </c>
      <c r="M28" s="16">
        <v>85115.54</v>
      </c>
      <c r="N28" s="16">
        <v>107315.44</v>
      </c>
      <c r="O28" s="16">
        <v>93451.14</v>
      </c>
      <c r="P28" s="16">
        <v>48244.92</v>
      </c>
      <c r="Q28" s="16">
        <v>76146.25</v>
      </c>
      <c r="R28" s="16">
        <v>24205.13</v>
      </c>
      <c r="S28" s="16">
        <v>69388.149999999994</v>
      </c>
      <c r="T28" s="16">
        <v>67627.990000000005</v>
      </c>
      <c r="U28" s="16">
        <v>56074.73</v>
      </c>
      <c r="V28" s="17">
        <v>63260.44</v>
      </c>
      <c r="W28" s="17">
        <v>74885.69</v>
      </c>
      <c r="X28" s="17">
        <v>36676.35</v>
      </c>
      <c r="Y28" s="17">
        <f>SUM(TB_FNB[[#This Row],[Apr]:[Mar]])</f>
        <v>802391.7699999999</v>
      </c>
      <c r="Z28" s="46">
        <v>147763.6</v>
      </c>
      <c r="AA28" s="46">
        <f>_xlfn.XLOOKUP(TB_FNB[[#This Row],[Description]],[4]TBScheduleWise.rpt!$G$1:$G$65536,[4]TBScheduleWise.rpt!$F$1:$F$65536,0)</f>
        <v>124006.39</v>
      </c>
      <c r="AB28" s="46"/>
    </row>
    <row r="29" spans="2:28" x14ac:dyDescent="0.3">
      <c r="B29" s="5" t="s">
        <v>363</v>
      </c>
      <c r="C29" s="5" t="s">
        <v>2</v>
      </c>
      <c r="D29" s="5" t="s">
        <v>198</v>
      </c>
      <c r="E29" s="5" t="s">
        <v>385</v>
      </c>
      <c r="F29" s="5" t="s">
        <v>386</v>
      </c>
      <c r="G29" s="5" t="s">
        <v>387</v>
      </c>
      <c r="H29" s="5" t="s">
        <v>387</v>
      </c>
      <c r="I29" s="5" t="s">
        <v>538</v>
      </c>
      <c r="J29" s="5" t="s">
        <v>268</v>
      </c>
      <c r="K29" s="5" t="s">
        <v>438</v>
      </c>
      <c r="L29" s="5">
        <f>_xlfn.XLOOKUP(TB_FNB[[#This Row],[MIS_Group1]],PL_Consol!B:B,PL_Consol!C:C)</f>
        <v>8</v>
      </c>
      <c r="M29" s="16">
        <v>3072469.92</v>
      </c>
      <c r="N29" s="16">
        <v>3033414.5</v>
      </c>
      <c r="O29" s="16">
        <v>2456525.44</v>
      </c>
      <c r="P29" s="16">
        <v>3019188.42</v>
      </c>
      <c r="Q29" s="16">
        <v>3403460.62</v>
      </c>
      <c r="R29" s="16">
        <v>2805515.69</v>
      </c>
      <c r="S29" s="16">
        <v>2819129.15</v>
      </c>
      <c r="T29" s="16">
        <v>2776070.53</v>
      </c>
      <c r="U29" s="16">
        <v>2966903.27</v>
      </c>
      <c r="V29" s="17">
        <v>2997091.43</v>
      </c>
      <c r="W29" s="17">
        <v>2811258.73</v>
      </c>
      <c r="X29" s="17">
        <v>2710390.1</v>
      </c>
      <c r="Y29" s="17">
        <f>SUM(TB_FNB[[#This Row],[Apr]:[Mar]])</f>
        <v>34871417.799999997</v>
      </c>
      <c r="Z29" s="46">
        <v>4257163.17</v>
      </c>
      <c r="AA29" s="46">
        <f>_xlfn.XLOOKUP(TB_FNB[[#This Row],[Description]],[4]TBScheduleWise.rpt!$G$1:$G$65536,[4]TBScheduleWise.rpt!$F$1:$F$65536,0)</f>
        <v>3367684.82</v>
      </c>
      <c r="AB29" s="46"/>
    </row>
    <row r="30" spans="2:28" x14ac:dyDescent="0.3">
      <c r="B30" s="5" t="s">
        <v>364</v>
      </c>
      <c r="C30" s="5" t="s">
        <v>2</v>
      </c>
      <c r="D30" s="5" t="s">
        <v>198</v>
      </c>
      <c r="E30" s="5" t="s">
        <v>385</v>
      </c>
      <c r="F30" s="5" t="s">
        <v>386</v>
      </c>
      <c r="G30" s="5" t="s">
        <v>364</v>
      </c>
      <c r="H30" s="5" t="s">
        <v>364</v>
      </c>
      <c r="I30" s="5" t="s">
        <v>538</v>
      </c>
      <c r="J30" s="5" t="s">
        <v>325</v>
      </c>
      <c r="K30" s="5" t="s">
        <v>439</v>
      </c>
      <c r="L30" s="5">
        <f>_xlfn.XLOOKUP(TB_FNB[[#This Row],[MIS_Group1]],PL_Consol!B:B,PL_Consol!C:C)</f>
        <v>25</v>
      </c>
      <c r="M30" s="16">
        <v>0</v>
      </c>
      <c r="N30" s="16">
        <v>0</v>
      </c>
      <c r="O30" s="16">
        <v>3500</v>
      </c>
      <c r="P30" s="16">
        <v>4590.1099999999997</v>
      </c>
      <c r="Q30" s="16">
        <v>600</v>
      </c>
      <c r="R30" s="16">
        <v>0</v>
      </c>
      <c r="S30" s="16">
        <v>0</v>
      </c>
      <c r="T30" s="16">
        <v>4000</v>
      </c>
      <c r="U30" s="16">
        <v>0</v>
      </c>
      <c r="V30" s="17">
        <v>1000.02</v>
      </c>
      <c r="W30" s="17">
        <v>0.25</v>
      </c>
      <c r="X30" s="17">
        <v>500</v>
      </c>
      <c r="Y30" s="17">
        <f>SUM(TB_FNB[[#This Row],[Apr]:[Mar]])</f>
        <v>14190.380000000001</v>
      </c>
      <c r="Z30" s="46">
        <v>0</v>
      </c>
      <c r="AA30" s="46">
        <f>_xlfn.XLOOKUP(TB_FNB[[#This Row],[Description]],[4]TBScheduleWise.rpt!$G$1:$G$65536,[4]TBScheduleWise.rpt!$F$1:$F$65536,0)</f>
        <v>2.42</v>
      </c>
      <c r="AB30" s="46"/>
    </row>
    <row r="31" spans="2:28" x14ac:dyDescent="0.3">
      <c r="B31" s="5" t="s">
        <v>365</v>
      </c>
      <c r="C31" s="5" t="s">
        <v>2</v>
      </c>
      <c r="D31" s="5" t="s">
        <v>198</v>
      </c>
      <c r="E31" s="5" t="s">
        <v>385</v>
      </c>
      <c r="F31" s="5" t="s">
        <v>386</v>
      </c>
      <c r="G31" s="5" t="s">
        <v>388</v>
      </c>
      <c r="H31" s="5" t="s">
        <v>365</v>
      </c>
      <c r="I31" s="5" t="s">
        <v>538</v>
      </c>
      <c r="J31" s="5" t="s">
        <v>272</v>
      </c>
      <c r="K31" s="5" t="s">
        <v>440</v>
      </c>
      <c r="L31" s="5">
        <f>_xlfn.XLOOKUP(TB_FNB[[#This Row],[MIS_Group1]],PL_Consol!B:B,PL_Consol!C:C)</f>
        <v>10</v>
      </c>
      <c r="M31" s="16">
        <v>1845330</v>
      </c>
      <c r="N31" s="16">
        <v>1842266</v>
      </c>
      <c r="O31" s="16">
        <v>1881024</v>
      </c>
      <c r="P31" s="16">
        <v>1771412</v>
      </c>
      <c r="Q31" s="16">
        <v>1842962</v>
      </c>
      <c r="R31" s="16">
        <v>1827924</v>
      </c>
      <c r="S31" s="16">
        <v>1993957</v>
      </c>
      <c r="T31" s="16">
        <v>1849623</v>
      </c>
      <c r="U31" s="16">
        <v>1754603</v>
      </c>
      <c r="V31" s="17">
        <v>1889996</v>
      </c>
      <c r="W31" s="17">
        <v>1813090</v>
      </c>
      <c r="X31" s="17">
        <v>1797896</v>
      </c>
      <c r="Y31" s="17">
        <f>SUM(TB_FNB[[#This Row],[Apr]:[Mar]])</f>
        <v>22110083</v>
      </c>
      <c r="Z31" s="46">
        <v>1932529</v>
      </c>
      <c r="AA31" s="46">
        <f>_xlfn.XLOOKUP(TB_FNB[[#This Row],[Description]],[4]TBScheduleWise.rpt!$G$1:$G$65536,[4]TBScheduleWise.rpt!$F$1:$F$65536,0)</f>
        <v>1887829</v>
      </c>
      <c r="AB31" s="46"/>
    </row>
    <row r="32" spans="2:28" x14ac:dyDescent="0.3">
      <c r="B32" s="5" t="s">
        <v>366</v>
      </c>
      <c r="C32" s="5" t="s">
        <v>2</v>
      </c>
      <c r="D32" s="5" t="s">
        <v>198</v>
      </c>
      <c r="E32" s="5" t="s">
        <v>385</v>
      </c>
      <c r="F32" s="5" t="s">
        <v>386</v>
      </c>
      <c r="G32" s="5" t="s">
        <v>389</v>
      </c>
      <c r="H32" s="5" t="s">
        <v>389</v>
      </c>
      <c r="I32" s="5" t="s">
        <v>538</v>
      </c>
      <c r="J32" s="5" t="s">
        <v>288</v>
      </c>
      <c r="K32" s="5" t="s">
        <v>441</v>
      </c>
      <c r="L32" s="5">
        <f>_xlfn.XLOOKUP(TB_FNB[[#This Row],[MIS_Group1]],PL_Consol!B:B,PL_Consol!C:C)</f>
        <v>15</v>
      </c>
      <c r="M32" s="16">
        <v>97000</v>
      </c>
      <c r="N32" s="16">
        <v>97000</v>
      </c>
      <c r="O32" s="16">
        <v>122633</v>
      </c>
      <c r="P32" s="16">
        <v>97000</v>
      </c>
      <c r="Q32" s="16">
        <v>121734</v>
      </c>
      <c r="R32" s="16">
        <v>97000</v>
      </c>
      <c r="S32" s="16">
        <v>99981.33</v>
      </c>
      <c r="T32" s="16">
        <v>97000</v>
      </c>
      <c r="U32" s="16">
        <v>67000</v>
      </c>
      <c r="V32" s="17">
        <v>150820.14000000001</v>
      </c>
      <c r="W32" s="17">
        <v>143618.41</v>
      </c>
      <c r="X32" s="17">
        <v>135890</v>
      </c>
      <c r="Y32" s="17">
        <f>SUM(TB_FNB[[#This Row],[Apr]:[Mar]])</f>
        <v>1326676.8799999999</v>
      </c>
      <c r="Z32" s="46">
        <v>250060</v>
      </c>
      <c r="AA32" s="46">
        <f>_xlfn.XLOOKUP(TB_FNB[[#This Row],[Description]],[4]TBScheduleWise.rpt!$G$1:$G$65536,[4]TBScheduleWise.rpt!$F$1:$F$65536,0)</f>
        <v>108560</v>
      </c>
      <c r="AB32" s="46"/>
    </row>
    <row r="33" spans="2:28" x14ac:dyDescent="0.3">
      <c r="B33" s="5" t="s">
        <v>367</v>
      </c>
      <c r="C33" s="5" t="s">
        <v>2</v>
      </c>
      <c r="D33" s="5" t="s">
        <v>198</v>
      </c>
      <c r="E33" s="5" t="s">
        <v>385</v>
      </c>
      <c r="F33" s="5" t="s">
        <v>386</v>
      </c>
      <c r="G33" s="5" t="s">
        <v>389</v>
      </c>
      <c r="H33" s="5" t="s">
        <v>389</v>
      </c>
      <c r="I33" s="5" t="s">
        <v>538</v>
      </c>
      <c r="J33" s="5" t="s">
        <v>288</v>
      </c>
      <c r="K33" s="5" t="s">
        <v>442</v>
      </c>
      <c r="L33" s="5">
        <f>_xlfn.XLOOKUP(TB_FNB[[#This Row],[MIS_Group1]],PL_Consol!B:B,PL_Consol!C:C)</f>
        <v>15</v>
      </c>
      <c r="M33" s="16">
        <v>0</v>
      </c>
      <c r="N33" s="16">
        <v>0</v>
      </c>
      <c r="O33" s="16">
        <v>13757</v>
      </c>
      <c r="P33" s="16">
        <v>10372</v>
      </c>
      <c r="Q33" s="16">
        <v>0</v>
      </c>
      <c r="R33" s="16">
        <v>15200</v>
      </c>
      <c r="S33" s="16">
        <v>0</v>
      </c>
      <c r="T33" s="16">
        <v>0</v>
      </c>
      <c r="U33" s="16">
        <v>0</v>
      </c>
      <c r="V33" s="17">
        <v>15758</v>
      </c>
      <c r="W33" s="17">
        <v>0</v>
      </c>
      <c r="X33" s="17">
        <v>8302</v>
      </c>
      <c r="Y33" s="17">
        <f>SUM(TB_FNB[[#This Row],[Apr]:[Mar]])</f>
        <v>63389</v>
      </c>
      <c r="Z33" s="46">
        <v>0</v>
      </c>
      <c r="AA33" s="46">
        <f>_xlfn.XLOOKUP(TB_FNB[[#This Row],[Description]],[4]TBScheduleWise.rpt!$G$1:$G$65536,[4]TBScheduleWise.rpt!$F$1:$F$65536,0)</f>
        <v>0</v>
      </c>
      <c r="AB33" s="46"/>
    </row>
    <row r="34" spans="2:28" x14ac:dyDescent="0.3">
      <c r="B34" s="5" t="s">
        <v>368</v>
      </c>
      <c r="C34" s="5" t="s">
        <v>2</v>
      </c>
      <c r="D34" s="5" t="s">
        <v>198</v>
      </c>
      <c r="E34" s="5" t="s">
        <v>385</v>
      </c>
      <c r="F34" s="5" t="s">
        <v>386</v>
      </c>
      <c r="G34" s="5" t="s">
        <v>389</v>
      </c>
      <c r="H34" s="5" t="s">
        <v>389</v>
      </c>
      <c r="I34" s="5" t="s">
        <v>538</v>
      </c>
      <c r="J34" s="5" t="s">
        <v>272</v>
      </c>
      <c r="K34" s="5" t="s">
        <v>443</v>
      </c>
      <c r="L34" s="5">
        <f>_xlfn.XLOOKUP(TB_FNB[[#This Row],[MIS_Group1]],PL_Consol!B:B,PL_Consol!C:C)</f>
        <v>10</v>
      </c>
      <c r="M34" s="16">
        <v>11550</v>
      </c>
      <c r="N34" s="16">
        <v>20706</v>
      </c>
      <c r="O34" s="16">
        <v>0</v>
      </c>
      <c r="P34" s="16">
        <v>115491.57</v>
      </c>
      <c r="Q34" s="16">
        <v>24528</v>
      </c>
      <c r="R34" s="16">
        <v>0</v>
      </c>
      <c r="S34" s="16">
        <v>19634.990000000002</v>
      </c>
      <c r="T34" s="16">
        <v>34524</v>
      </c>
      <c r="U34" s="16">
        <v>2488.5</v>
      </c>
      <c r="V34" s="17">
        <v>0</v>
      </c>
      <c r="W34" s="17">
        <v>48919.5</v>
      </c>
      <c r="X34" s="17">
        <v>54862.5</v>
      </c>
      <c r="Y34" s="17">
        <f>SUM(TB_FNB[[#This Row],[Apr]:[Mar]])</f>
        <v>332705.06</v>
      </c>
      <c r="Z34" s="46">
        <v>2352</v>
      </c>
      <c r="AA34" s="46">
        <f>_xlfn.XLOOKUP(TB_FNB[[#This Row],[Description]],[4]TBScheduleWise.rpt!$G$1:$G$65536,[4]TBScheduleWise.rpt!$F$1:$F$65536,0)</f>
        <v>24759</v>
      </c>
      <c r="AB34" s="46"/>
    </row>
    <row r="35" spans="2:28" x14ac:dyDescent="0.3">
      <c r="B35" s="5" t="s">
        <v>369</v>
      </c>
      <c r="C35" s="5" t="s">
        <v>2</v>
      </c>
      <c r="D35" s="5" t="s">
        <v>198</v>
      </c>
      <c r="E35" s="5" t="s">
        <v>385</v>
      </c>
      <c r="F35" s="5" t="s">
        <v>386</v>
      </c>
      <c r="G35" s="5" t="s">
        <v>390</v>
      </c>
      <c r="H35" s="5" t="s">
        <v>391</v>
      </c>
      <c r="I35" s="5" t="s">
        <v>538</v>
      </c>
      <c r="J35" s="5" t="s">
        <v>268</v>
      </c>
      <c r="K35" s="5" t="s">
        <v>444</v>
      </c>
      <c r="L35" s="5">
        <f>_xlfn.XLOOKUP(TB_FNB[[#This Row],[MIS_Group1]],PL_Consol!B:B,PL_Consol!C:C)</f>
        <v>8</v>
      </c>
      <c r="M35" s="16">
        <v>448679.25</v>
      </c>
      <c r="N35" s="16">
        <v>540116.15</v>
      </c>
      <c r="O35" s="16">
        <v>337384.3</v>
      </c>
      <c r="P35" s="16">
        <v>694352.78</v>
      </c>
      <c r="Q35" s="16">
        <v>600832.62</v>
      </c>
      <c r="R35" s="16">
        <v>371493.6</v>
      </c>
      <c r="S35" s="16">
        <v>482115.29</v>
      </c>
      <c r="T35" s="16">
        <v>412501.08</v>
      </c>
      <c r="U35" s="16">
        <v>562945.93999999994</v>
      </c>
      <c r="V35" s="17">
        <v>455237.44</v>
      </c>
      <c r="W35" s="17">
        <v>638911.06000000006</v>
      </c>
      <c r="X35" s="17">
        <v>431970.27</v>
      </c>
      <c r="Y35" s="17">
        <f>SUM(TB_FNB[[#This Row],[Apr]:[Mar]])</f>
        <v>5976539.7799999993</v>
      </c>
      <c r="Z35" s="46">
        <v>677520.1</v>
      </c>
      <c r="AA35" s="46">
        <f>_xlfn.XLOOKUP(TB_FNB[[#This Row],[Description]],[4]TBScheduleWise.rpt!$G$1:$G$65536,[4]TBScheduleWise.rpt!$F$1:$F$65536,0)</f>
        <v>932840.44</v>
      </c>
      <c r="AB35" s="46"/>
    </row>
    <row r="36" spans="2:28" x14ac:dyDescent="0.3">
      <c r="B36" s="5" t="s">
        <v>370</v>
      </c>
      <c r="C36" s="5" t="s">
        <v>2</v>
      </c>
      <c r="D36" s="5" t="s">
        <v>198</v>
      </c>
      <c r="E36" s="5" t="s">
        <v>385</v>
      </c>
      <c r="F36" s="5" t="s">
        <v>386</v>
      </c>
      <c r="G36" s="5" t="s">
        <v>390</v>
      </c>
      <c r="H36" s="5" t="s">
        <v>392</v>
      </c>
      <c r="I36" s="5" t="s">
        <v>538</v>
      </c>
      <c r="J36" s="55" t="s">
        <v>534</v>
      </c>
      <c r="K36" s="5" t="s">
        <v>286</v>
      </c>
      <c r="L36" s="5">
        <f>_xlfn.XLOOKUP(TB_FNB[[#This Row],[MIS_Group1]],PL_Consol!B:B,PL_Consol!C:C)</f>
        <v>16</v>
      </c>
      <c r="M36" s="16">
        <v>15507</v>
      </c>
      <c r="N36" s="16">
        <v>16187</v>
      </c>
      <c r="O36" s="16">
        <v>16811</v>
      </c>
      <c r="P36" s="16">
        <v>17982</v>
      </c>
      <c r="Q36" s="16">
        <v>16198</v>
      </c>
      <c r="R36" s="16">
        <v>15917</v>
      </c>
      <c r="S36" s="16">
        <v>16165</v>
      </c>
      <c r="T36" s="16">
        <v>17075</v>
      </c>
      <c r="U36" s="16">
        <v>16768</v>
      </c>
      <c r="V36" s="17">
        <v>18702</v>
      </c>
      <c r="W36" s="17">
        <v>16740</v>
      </c>
      <c r="X36" s="17">
        <v>17293</v>
      </c>
      <c r="Y36" s="17">
        <f>SUM(TB_FNB[[#This Row],[Apr]:[Mar]])</f>
        <v>201345</v>
      </c>
      <c r="Z36" s="46">
        <v>15253</v>
      </c>
      <c r="AA36" s="46">
        <f>_xlfn.XLOOKUP(TB_FNB[[#This Row],[Description]],[4]TBScheduleWise.rpt!$G$1:$G$65536,[4]TBScheduleWise.rpt!$F$1:$F$65536,0)</f>
        <v>15946</v>
      </c>
      <c r="AB36" s="46"/>
    </row>
    <row r="37" spans="2:28" x14ac:dyDescent="0.3">
      <c r="B37" s="5" t="s">
        <v>371</v>
      </c>
      <c r="C37" s="5" t="s">
        <v>2</v>
      </c>
      <c r="D37" s="5" t="s">
        <v>198</v>
      </c>
      <c r="E37" s="5" t="s">
        <v>385</v>
      </c>
      <c r="F37" s="5" t="s">
        <v>386</v>
      </c>
      <c r="G37" s="5" t="s">
        <v>390</v>
      </c>
      <c r="H37" s="5" t="s">
        <v>392</v>
      </c>
      <c r="I37" s="5" t="s">
        <v>538</v>
      </c>
      <c r="J37" s="55" t="s">
        <v>534</v>
      </c>
      <c r="K37" s="5" t="s">
        <v>286</v>
      </c>
      <c r="L37" s="5">
        <f>_xlfn.XLOOKUP(TB_FNB[[#This Row],[MIS_Group1]],PL_Consol!B:B,PL_Consol!C:C)</f>
        <v>16</v>
      </c>
      <c r="M37" s="16">
        <v>141181.56</v>
      </c>
      <c r="N37" s="16">
        <v>169819.86</v>
      </c>
      <c r="O37" s="16">
        <v>149857.84</v>
      </c>
      <c r="P37" s="16">
        <v>200660.33</v>
      </c>
      <c r="Q37" s="16">
        <v>190133.36</v>
      </c>
      <c r="R37" s="16">
        <v>144672.26999999999</v>
      </c>
      <c r="S37" s="16">
        <v>156357.32</v>
      </c>
      <c r="T37" s="16">
        <v>188082.16</v>
      </c>
      <c r="U37" s="16">
        <v>187939.6</v>
      </c>
      <c r="V37" s="17">
        <v>190113.95</v>
      </c>
      <c r="W37" s="17">
        <v>156054.21</v>
      </c>
      <c r="X37" s="17">
        <v>177872.13</v>
      </c>
      <c r="Y37" s="17">
        <f>SUM(TB_FNB[[#This Row],[Apr]:[Mar]])</f>
        <v>2052744.5899999999</v>
      </c>
      <c r="Z37" s="46">
        <v>216819.33</v>
      </c>
      <c r="AA37" s="46">
        <f>_xlfn.XLOOKUP(TB_FNB[[#This Row],[Description]],[4]TBScheduleWise.rpt!$G$1:$G$65536,[4]TBScheduleWise.rpt!$F$1:$F$65536,0)</f>
        <v>178190.78</v>
      </c>
      <c r="AB37" s="46"/>
    </row>
    <row r="38" spans="2:28" x14ac:dyDescent="0.3">
      <c r="B38" s="5" t="s">
        <v>372</v>
      </c>
      <c r="C38" s="5" t="s">
        <v>2</v>
      </c>
      <c r="D38" s="5" t="s">
        <v>198</v>
      </c>
      <c r="E38" s="5" t="s">
        <v>385</v>
      </c>
      <c r="F38" s="5" t="s">
        <v>386</v>
      </c>
      <c r="G38" s="5" t="s">
        <v>393</v>
      </c>
      <c r="H38" s="5" t="s">
        <v>393</v>
      </c>
      <c r="I38" s="5" t="s">
        <v>538</v>
      </c>
      <c r="J38" s="55" t="s">
        <v>268</v>
      </c>
      <c r="K38" s="5" t="s">
        <v>445</v>
      </c>
      <c r="L38" s="5">
        <f>_xlfn.XLOOKUP(TB_FNB[[#This Row],[MIS_Group1]],PL_Consol!B:B,PL_Consol!C:C)</f>
        <v>8</v>
      </c>
      <c r="M38" s="16">
        <v>451976.38</v>
      </c>
      <c r="N38" s="16">
        <v>18229.240000000002</v>
      </c>
      <c r="O38" s="16">
        <v>27953.99</v>
      </c>
      <c r="P38" s="16">
        <v>153884.74</v>
      </c>
      <c r="Q38" s="16">
        <v>288102.43</v>
      </c>
      <c r="R38" s="16">
        <v>60621.72</v>
      </c>
      <c r="S38" s="16">
        <v>39089.19</v>
      </c>
      <c r="T38" s="16">
        <v>29343.4</v>
      </c>
      <c r="U38" s="16">
        <v>23488.42</v>
      </c>
      <c r="V38" s="17">
        <v>195543.73</v>
      </c>
      <c r="W38" s="17">
        <v>120043.19</v>
      </c>
      <c r="X38" s="17">
        <v>11540.06</v>
      </c>
      <c r="Y38" s="17">
        <f>SUM(TB_FNB[[#This Row],[Apr]:[Mar]])</f>
        <v>1419816.4899999998</v>
      </c>
      <c r="Z38" s="46">
        <v>72201.919999999998</v>
      </c>
      <c r="AA38" s="46">
        <f>_xlfn.XLOOKUP(TB_FNB[[#This Row],[Description]],[4]TBScheduleWise.rpt!$G$1:$G$65536,[4]TBScheduleWise.rpt!$F$1:$F$65536,0)</f>
        <v>44326.58</v>
      </c>
      <c r="AB38" s="46"/>
    </row>
    <row r="39" spans="2:28" x14ac:dyDescent="0.3">
      <c r="B39" s="5" t="s">
        <v>373</v>
      </c>
      <c r="C39" s="5" t="s">
        <v>2</v>
      </c>
      <c r="D39" s="5" t="s">
        <v>198</v>
      </c>
      <c r="E39" s="5" t="s">
        <v>385</v>
      </c>
      <c r="F39" s="5" t="s">
        <v>386</v>
      </c>
      <c r="G39" s="5" t="s">
        <v>393</v>
      </c>
      <c r="H39" s="5" t="s">
        <v>393</v>
      </c>
      <c r="I39" s="5" t="s">
        <v>538</v>
      </c>
      <c r="J39" s="55" t="s">
        <v>268</v>
      </c>
      <c r="K39" s="5" t="s">
        <v>446</v>
      </c>
      <c r="L39" s="5">
        <f>_xlfn.XLOOKUP(TB_FNB[[#This Row],[MIS_Group1]],PL_Consol!B:B,PL_Consol!C:C)</f>
        <v>8</v>
      </c>
      <c r="M39" s="16">
        <v>-1664.6</v>
      </c>
      <c r="N39" s="16">
        <v>-1310.4500000000012</v>
      </c>
      <c r="O39" s="16">
        <v>7884.54</v>
      </c>
      <c r="P39" s="16">
        <v>5119.5499999999993</v>
      </c>
      <c r="Q39" s="16">
        <v>9187.0499999999993</v>
      </c>
      <c r="R39" s="16">
        <v>-5041.6400000000003</v>
      </c>
      <c r="S39" s="16">
        <v>2976.61</v>
      </c>
      <c r="T39" s="16">
        <v>-2261.9899999999998</v>
      </c>
      <c r="U39" s="16">
        <v>-4348.4500000000007</v>
      </c>
      <c r="V39" s="17">
        <v>2031.5499999999988</v>
      </c>
      <c r="W39" s="17">
        <v>-7116</v>
      </c>
      <c r="X39" s="17">
        <v>-1740</v>
      </c>
      <c r="Y39" s="17">
        <f>SUM(TB_FNB[[#This Row],[Apr]:[Mar]])</f>
        <v>3716.1699999999964</v>
      </c>
      <c r="Z39" s="46">
        <v>-10136</v>
      </c>
      <c r="AA39" s="46">
        <f>_xlfn.XLOOKUP(TB_FNB[[#This Row],[Description]],[4]TBScheduleWise.rpt!$G$1:$G$65536,[4]TBScheduleWise.rpt!$F$1:$F$65536,0)</f>
        <v>9501.36</v>
      </c>
      <c r="AB39" s="46"/>
    </row>
    <row r="40" spans="2:28" x14ac:dyDescent="0.3">
      <c r="B40" s="5" t="s">
        <v>374</v>
      </c>
      <c r="C40" s="5" t="s">
        <v>2</v>
      </c>
      <c r="D40" s="5" t="s">
        <v>198</v>
      </c>
      <c r="E40" s="5" t="s">
        <v>385</v>
      </c>
      <c r="F40" s="5" t="s">
        <v>386</v>
      </c>
      <c r="G40" s="5" t="s">
        <v>394</v>
      </c>
      <c r="H40" s="5" t="s">
        <v>395</v>
      </c>
      <c r="I40" s="5" t="s">
        <v>538</v>
      </c>
      <c r="J40" s="5" t="s">
        <v>289</v>
      </c>
      <c r="K40" s="5" t="s">
        <v>427</v>
      </c>
      <c r="L40" s="5">
        <f>_xlfn.XLOOKUP(TB_FNB[[#This Row],[MIS_Group1]],PL_Consol!B:B,PL_Consol!C:C)</f>
        <v>12</v>
      </c>
      <c r="M40" s="16">
        <v>89680</v>
      </c>
      <c r="N40" s="16">
        <v>16520</v>
      </c>
      <c r="O40" s="16">
        <v>67317</v>
      </c>
      <c r="P40" s="16">
        <v>143680</v>
      </c>
      <c r="Q40" s="16">
        <v>364949</v>
      </c>
      <c r="R40" s="16">
        <v>23372</v>
      </c>
      <c r="S40" s="16">
        <v>98823</v>
      </c>
      <c r="T40" s="16">
        <v>17712</v>
      </c>
      <c r="U40" s="16">
        <v>14160</v>
      </c>
      <c r="V40" s="17">
        <v>110037</v>
      </c>
      <c r="W40" s="17">
        <v>31982</v>
      </c>
      <c r="X40" s="17">
        <v>213393</v>
      </c>
      <c r="Y40" s="17">
        <f>SUM(TB_FNB[[#This Row],[Apr]:[Mar]])</f>
        <v>1191625</v>
      </c>
      <c r="Z40" s="46">
        <v>30372</v>
      </c>
      <c r="AA40" s="46">
        <f>_xlfn.XLOOKUP(TB_FNB[[#This Row],[Description]],[4]TBScheduleWise.rpt!$G$1:$G$65536,[4]TBScheduleWise.rpt!$F$1:$F$65536,0)</f>
        <v>101160.4</v>
      </c>
      <c r="AB40" s="46"/>
    </row>
    <row r="41" spans="2:28" x14ac:dyDescent="0.3">
      <c r="B41" s="5" t="s">
        <v>375</v>
      </c>
      <c r="C41" s="5" t="s">
        <v>2</v>
      </c>
      <c r="D41" s="5" t="s">
        <v>198</v>
      </c>
      <c r="E41" s="5" t="s">
        <v>385</v>
      </c>
      <c r="F41" s="5" t="s">
        <v>386</v>
      </c>
      <c r="G41" s="5" t="s">
        <v>394</v>
      </c>
      <c r="H41" s="5" t="s">
        <v>396</v>
      </c>
      <c r="I41" s="5" t="s">
        <v>538</v>
      </c>
      <c r="J41" s="5" t="s">
        <v>289</v>
      </c>
      <c r="K41" s="5" t="s">
        <v>447</v>
      </c>
      <c r="L41" s="5">
        <f>_xlfn.XLOOKUP(TB_FNB[[#This Row],[MIS_Group1]],PL_Consol!B:B,PL_Consol!C:C)</f>
        <v>12</v>
      </c>
      <c r="M41" s="16">
        <v>654680</v>
      </c>
      <c r="N41" s="16">
        <v>633496</v>
      </c>
      <c r="O41" s="16">
        <v>652525</v>
      </c>
      <c r="P41" s="16">
        <v>598110</v>
      </c>
      <c r="Q41" s="16">
        <v>733388.5</v>
      </c>
      <c r="R41" s="16">
        <v>692204</v>
      </c>
      <c r="S41" s="16">
        <v>690069</v>
      </c>
      <c r="T41" s="16">
        <v>708326</v>
      </c>
      <c r="U41" s="16">
        <v>786192</v>
      </c>
      <c r="V41" s="17">
        <v>792914</v>
      </c>
      <c r="W41" s="17">
        <v>733388.5</v>
      </c>
      <c r="X41" s="17">
        <v>532454</v>
      </c>
      <c r="Y41" s="17">
        <f>SUM(TB_FNB[[#This Row],[Apr]:[Mar]])</f>
        <v>8207747</v>
      </c>
      <c r="Z41" s="46">
        <v>678040</v>
      </c>
      <c r="AA41" s="46">
        <f>_xlfn.XLOOKUP(TB_FNB[[#This Row],[Description]],[4]TBScheduleWise.rpt!$G$1:$G$65536,[4]TBScheduleWise.rpt!$F$1:$F$65536,0)</f>
        <v>718971</v>
      </c>
      <c r="AB41" s="46"/>
    </row>
    <row r="42" spans="2:28" x14ac:dyDescent="0.3">
      <c r="B42" s="5" t="s">
        <v>376</v>
      </c>
      <c r="C42" s="5" t="s">
        <v>2</v>
      </c>
      <c r="D42" s="5" t="s">
        <v>198</v>
      </c>
      <c r="E42" s="5" t="s">
        <v>385</v>
      </c>
      <c r="F42" s="5" t="s">
        <v>386</v>
      </c>
      <c r="G42" s="5" t="s">
        <v>397</v>
      </c>
      <c r="H42" s="5" t="s">
        <v>398</v>
      </c>
      <c r="I42" s="5" t="s">
        <v>538</v>
      </c>
      <c r="J42" s="5" t="s">
        <v>289</v>
      </c>
      <c r="K42" s="5" t="s">
        <v>448</v>
      </c>
      <c r="L42" s="5">
        <f>_xlfn.XLOOKUP(TB_FNB[[#This Row],[MIS_Group1]],PL_Consol!B:B,PL_Consol!C:C)</f>
        <v>12</v>
      </c>
      <c r="M42" s="16">
        <v>9347</v>
      </c>
      <c r="N42" s="16">
        <v>9347</v>
      </c>
      <c r="O42" s="16">
        <v>9347</v>
      </c>
      <c r="P42" s="16">
        <v>0</v>
      </c>
      <c r="Q42" s="16">
        <v>0</v>
      </c>
      <c r="R42" s="16">
        <v>0</v>
      </c>
      <c r="S42" s="16">
        <v>9347</v>
      </c>
      <c r="T42" s="16">
        <v>9347</v>
      </c>
      <c r="U42" s="16">
        <v>9347</v>
      </c>
      <c r="V42" s="17">
        <v>9347</v>
      </c>
      <c r="W42" s="17">
        <v>9347</v>
      </c>
      <c r="X42" s="17">
        <v>11287</v>
      </c>
      <c r="Y42" s="17">
        <f>SUM(TB_FNB[[#This Row],[Apr]:[Mar]])</f>
        <v>86063</v>
      </c>
      <c r="Z42" s="46">
        <v>0</v>
      </c>
      <c r="AA42" s="46">
        <f>_xlfn.XLOOKUP(TB_FNB[[#This Row],[Description]],[4]TBScheduleWise.rpt!$G$1:$G$65536,[4]TBScheduleWise.rpt!$F$1:$F$65536,0)</f>
        <v>20967</v>
      </c>
      <c r="AB42" s="46"/>
    </row>
    <row r="43" spans="2:28" x14ac:dyDescent="0.3">
      <c r="B43" s="5" t="s">
        <v>47</v>
      </c>
      <c r="C43" s="5" t="s">
        <v>2</v>
      </c>
      <c r="D43" s="5" t="s">
        <v>198</v>
      </c>
      <c r="E43" s="5" t="s">
        <v>385</v>
      </c>
      <c r="F43" s="5" t="s">
        <v>386</v>
      </c>
      <c r="G43" s="5" t="s">
        <v>399</v>
      </c>
      <c r="H43" s="5" t="s">
        <v>47</v>
      </c>
      <c r="I43" s="5" t="s">
        <v>538</v>
      </c>
      <c r="J43" s="5" t="s">
        <v>301</v>
      </c>
      <c r="K43" s="5" t="s">
        <v>315</v>
      </c>
      <c r="L43" s="5">
        <f>_xlfn.XLOOKUP(TB_FNB[[#This Row],[MIS_Group1]],PL_Consol!B:B,PL_Consol!C:C)</f>
        <v>20</v>
      </c>
      <c r="M43" s="16">
        <v>-37.11</v>
      </c>
      <c r="N43" s="16">
        <v>-48</v>
      </c>
      <c r="O43" s="16">
        <v>3490.49</v>
      </c>
      <c r="P43" s="16">
        <v>-199.99</v>
      </c>
      <c r="Q43" s="16">
        <v>-90.24</v>
      </c>
      <c r="R43" s="16">
        <v>-11.89</v>
      </c>
      <c r="S43" s="16">
        <v>412</v>
      </c>
      <c r="T43" s="16">
        <v>3334.76</v>
      </c>
      <c r="U43" s="16">
        <v>0</v>
      </c>
      <c r="V43" s="17">
        <v>-3.33</v>
      </c>
      <c r="W43" s="17">
        <v>-5.9</v>
      </c>
      <c r="X43" s="17">
        <v>0</v>
      </c>
      <c r="Y43" s="17">
        <f>SUM(TB_FNB[[#This Row],[Apr]:[Mar]])</f>
        <v>6840.7900000000009</v>
      </c>
      <c r="Z43" s="46">
        <v>0</v>
      </c>
      <c r="AA43" s="46">
        <f>_xlfn.XLOOKUP(TB_FNB[[#This Row],[Description]],[4]TBScheduleWise.rpt!$G$1:$G$65536,[4]TBScheduleWise.rpt!$F$1:$F$65536,0)</f>
        <v>-74.989999999999995</v>
      </c>
      <c r="AB43" s="46"/>
    </row>
    <row r="44" spans="2:28" x14ac:dyDescent="0.3">
      <c r="B44" s="5" t="s">
        <v>377</v>
      </c>
      <c r="C44" s="5" t="s">
        <v>2</v>
      </c>
      <c r="D44" s="5" t="s">
        <v>198</v>
      </c>
      <c r="E44" s="5" t="s">
        <v>385</v>
      </c>
      <c r="F44" s="5" t="s">
        <v>386</v>
      </c>
      <c r="G44" s="5" t="s">
        <v>400</v>
      </c>
      <c r="H44" s="5" t="s">
        <v>377</v>
      </c>
      <c r="I44" s="5" t="s">
        <v>538</v>
      </c>
      <c r="J44" s="5" t="s">
        <v>268</v>
      </c>
      <c r="K44" s="5" t="s">
        <v>438</v>
      </c>
      <c r="L44" s="5">
        <f>_xlfn.XLOOKUP(TB_FNB[[#This Row],[MIS_Group1]],PL_Consol!B:B,PL_Consol!C:C)</f>
        <v>8</v>
      </c>
      <c r="M44" s="16">
        <v>-4974</v>
      </c>
      <c r="N44" s="16">
        <v>-6319.48</v>
      </c>
      <c r="O44" s="16">
        <v>-3833.65</v>
      </c>
      <c r="P44" s="16">
        <v>-6418.98</v>
      </c>
      <c r="Q44" s="16">
        <v>-5280.07</v>
      </c>
      <c r="R44" s="16">
        <v>-6820.63</v>
      </c>
      <c r="S44" s="16">
        <v>-6513.25</v>
      </c>
      <c r="T44" s="16">
        <v>-5058.7299999999996</v>
      </c>
      <c r="U44" s="16">
        <v>-6063.63</v>
      </c>
      <c r="V44" s="17">
        <v>-6836.85</v>
      </c>
      <c r="W44" s="17">
        <v>-5541.33</v>
      </c>
      <c r="X44" s="17">
        <v>-6101.89</v>
      </c>
      <c r="Y44" s="17">
        <f>SUM(TB_FNB[[#This Row],[Apr]:[Mar]])</f>
        <v>-69762.489999999991</v>
      </c>
      <c r="Z44" s="46">
        <v>-4688.47</v>
      </c>
      <c r="AA44" s="46">
        <f>_xlfn.XLOOKUP(TB_FNB[[#This Row],[Description]],[4]TBScheduleWise.rpt!$G$1:$G$65536,[4]TBScheduleWise.rpt!$F$1:$F$65536,0)</f>
        <v>-7603.03</v>
      </c>
      <c r="AB44" s="46"/>
    </row>
    <row r="45" spans="2:28" x14ac:dyDescent="0.3">
      <c r="B45" s="5" t="s">
        <v>378</v>
      </c>
      <c r="C45" s="5" t="s">
        <v>2</v>
      </c>
      <c r="D45" s="5" t="s">
        <v>198</v>
      </c>
      <c r="E45" s="5" t="s">
        <v>385</v>
      </c>
      <c r="F45" s="5" t="s">
        <v>386</v>
      </c>
      <c r="G45" s="5" t="s">
        <v>400</v>
      </c>
      <c r="H45" s="5" t="s">
        <v>37</v>
      </c>
      <c r="I45" s="5" t="s">
        <v>538</v>
      </c>
      <c r="J45" s="5" t="s">
        <v>325</v>
      </c>
      <c r="K45" s="5" t="s">
        <v>449</v>
      </c>
      <c r="L45" s="5">
        <f>_xlfn.XLOOKUP(TB_FNB[[#This Row],[MIS_Group1]],PL_Consol!B:B,PL_Consol!C:C)</f>
        <v>25</v>
      </c>
      <c r="M45" s="16">
        <v>2750</v>
      </c>
      <c r="N45" s="16">
        <v>1762.4</v>
      </c>
      <c r="O45" s="16">
        <v>1972</v>
      </c>
      <c r="P45" s="16">
        <v>2040</v>
      </c>
      <c r="Q45" s="16">
        <v>0</v>
      </c>
      <c r="R45" s="16">
        <v>0</v>
      </c>
      <c r="S45" s="16">
        <v>990</v>
      </c>
      <c r="T45" s="16">
        <v>0</v>
      </c>
      <c r="U45" s="16">
        <v>0</v>
      </c>
      <c r="V45" s="17">
        <v>4230</v>
      </c>
      <c r="W45" s="17">
        <v>800</v>
      </c>
      <c r="X45" s="17">
        <v>850</v>
      </c>
      <c r="Y45" s="17">
        <f>SUM(TB_FNB[[#This Row],[Apr]:[Mar]])</f>
        <v>15394.4</v>
      </c>
      <c r="Z45" s="46">
        <v>3402.4</v>
      </c>
      <c r="AA45" s="46">
        <f>_xlfn.XLOOKUP(TB_FNB[[#This Row],[Description]],[4]TBScheduleWise.rpt!$G$1:$G$65536,[4]TBScheduleWise.rpt!$F$1:$F$65536,0)</f>
        <v>1538</v>
      </c>
      <c r="AB45" s="46"/>
    </row>
    <row r="46" spans="2:28" x14ac:dyDescent="0.3">
      <c r="B46" s="5" t="s">
        <v>379</v>
      </c>
      <c r="C46" s="5" t="s">
        <v>2</v>
      </c>
      <c r="D46" s="5" t="s">
        <v>198</v>
      </c>
      <c r="E46" s="5" t="s">
        <v>385</v>
      </c>
      <c r="F46" s="5" t="s">
        <v>386</v>
      </c>
      <c r="G46" s="5" t="s">
        <v>400</v>
      </c>
      <c r="H46" s="5" t="s">
        <v>37</v>
      </c>
      <c r="I46" s="5" t="s">
        <v>538</v>
      </c>
      <c r="J46" s="5" t="s">
        <v>325</v>
      </c>
      <c r="K46" s="5" t="s">
        <v>450</v>
      </c>
      <c r="L46" s="5">
        <f>_xlfn.XLOOKUP(TB_FNB[[#This Row],[MIS_Group1]],PL_Consol!B:B,PL_Consol!C:C)</f>
        <v>25</v>
      </c>
      <c r="M46" s="16">
        <v>1079722</v>
      </c>
      <c r="N46" s="16">
        <v>1062744</v>
      </c>
      <c r="O46" s="16">
        <v>1071262</v>
      </c>
      <c r="P46" s="16">
        <v>1125025</v>
      </c>
      <c r="Q46" s="16">
        <v>1263944</v>
      </c>
      <c r="R46" s="16">
        <v>1400137</v>
      </c>
      <c r="S46" s="16">
        <v>1166497</v>
      </c>
      <c r="T46" s="16">
        <v>1145497</v>
      </c>
      <c r="U46" s="16">
        <v>1232704</v>
      </c>
      <c r="V46" s="17">
        <v>1275249</v>
      </c>
      <c r="W46" s="17">
        <v>1256427</v>
      </c>
      <c r="X46" s="17">
        <v>1065093</v>
      </c>
      <c r="Y46" s="17">
        <f>SUM(TB_FNB[[#This Row],[Apr]:[Mar]])</f>
        <v>14144301</v>
      </c>
      <c r="Z46" s="46">
        <v>1249207</v>
      </c>
      <c r="AA46" s="46">
        <f>_xlfn.XLOOKUP(TB_FNB[[#This Row],[Description]],[4]TBScheduleWise.rpt!$G$1:$G$65536,[4]TBScheduleWise.rpt!$F$1:$F$65536,0)</f>
        <v>1218751</v>
      </c>
      <c r="AB46" s="46"/>
    </row>
    <row r="47" spans="2:28" x14ac:dyDescent="0.3">
      <c r="B47" s="5" t="s">
        <v>380</v>
      </c>
      <c r="C47" s="5" t="s">
        <v>2</v>
      </c>
      <c r="D47" s="5" t="s">
        <v>198</v>
      </c>
      <c r="E47" s="5" t="s">
        <v>385</v>
      </c>
      <c r="F47" s="5" t="s">
        <v>386</v>
      </c>
      <c r="G47" s="5" t="s">
        <v>56</v>
      </c>
      <c r="H47" s="5" t="s">
        <v>56</v>
      </c>
      <c r="I47" s="5" t="s">
        <v>538</v>
      </c>
      <c r="J47" s="5" t="s">
        <v>204</v>
      </c>
      <c r="K47" s="5" t="s">
        <v>451</v>
      </c>
      <c r="L47" s="5">
        <f>_xlfn.XLOOKUP(TB_FNB[[#This Row],[MIS_Group1]],PL_Consol!B:B,PL_Consol!C:C)</f>
        <v>29</v>
      </c>
      <c r="M47" s="16">
        <v>753.89</v>
      </c>
      <c r="N47" s="16">
        <v>858.68</v>
      </c>
      <c r="O47" s="16">
        <v>729.24</v>
      </c>
      <c r="P47" s="16">
        <v>0</v>
      </c>
      <c r="Q47" s="16">
        <v>41.28</v>
      </c>
      <c r="R47" s="16">
        <v>0</v>
      </c>
      <c r="S47" s="16">
        <v>44.53</v>
      </c>
      <c r="T47" s="16">
        <v>2746.98</v>
      </c>
      <c r="U47" s="16">
        <v>0</v>
      </c>
      <c r="V47" s="17">
        <v>3568.24</v>
      </c>
      <c r="W47" s="17">
        <v>4060.46</v>
      </c>
      <c r="X47" s="17">
        <v>2019.26</v>
      </c>
      <c r="Y47" s="17">
        <f>SUM(TB_FNB[[#This Row],[Apr]:[Mar]])</f>
        <v>14822.56</v>
      </c>
      <c r="Z47" s="46">
        <v>0</v>
      </c>
      <c r="AA47" s="46">
        <f>_xlfn.XLOOKUP(TB_FNB[[#This Row],[Description]],[4]TBScheduleWise.rpt!$G$1:$G$65536,[4]TBScheduleWise.rpt!$F$1:$F$65536,0)</f>
        <v>0</v>
      </c>
      <c r="AB47" s="46"/>
    </row>
    <row r="48" spans="2:28" x14ac:dyDescent="0.3">
      <c r="B48" s="5" t="s">
        <v>56</v>
      </c>
      <c r="C48" s="5" t="s">
        <v>2</v>
      </c>
      <c r="D48" s="5" t="s">
        <v>198</v>
      </c>
      <c r="E48" s="5" t="s">
        <v>385</v>
      </c>
      <c r="F48" s="5" t="s">
        <v>386</v>
      </c>
      <c r="G48" s="5" t="s">
        <v>401</v>
      </c>
      <c r="H48" s="5" t="s">
        <v>401</v>
      </c>
      <c r="I48" s="5" t="s">
        <v>538</v>
      </c>
      <c r="J48" s="5" t="s">
        <v>204</v>
      </c>
      <c r="K48" s="5" t="s">
        <v>277</v>
      </c>
      <c r="L48" s="5">
        <f>_xlfn.XLOOKUP(TB_FNB[[#This Row],[MIS_Group1]],PL_Consol!B:B,PL_Consol!C:C)</f>
        <v>29</v>
      </c>
      <c r="M48" s="16">
        <v>374.06</v>
      </c>
      <c r="N48" s="16">
        <v>400.02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7">
        <v>344.56</v>
      </c>
      <c r="W48" s="17">
        <v>350.46</v>
      </c>
      <c r="X48" s="17">
        <v>0</v>
      </c>
      <c r="Y48" s="17">
        <f>SUM(TB_FNB[[#This Row],[Apr]:[Mar]])</f>
        <v>1469.1</v>
      </c>
      <c r="Z48" s="46">
        <v>0</v>
      </c>
      <c r="AA48" s="46">
        <f>_xlfn.XLOOKUP(TB_FNB[[#This Row],[Description]],[4]TBScheduleWise.rpt!$G$1:$G$65536,[4]TBScheduleWise.rpt!$F$1:$F$65536,0)</f>
        <v>0</v>
      </c>
      <c r="AB48" s="46"/>
    </row>
    <row r="49" spans="2:28" x14ac:dyDescent="0.3">
      <c r="B49" s="5" t="s">
        <v>402</v>
      </c>
      <c r="C49" s="5" t="s">
        <v>2</v>
      </c>
      <c r="D49" s="5" t="s">
        <v>197</v>
      </c>
      <c r="E49" s="5" t="s">
        <v>381</v>
      </c>
      <c r="F49" s="5" t="s">
        <v>3</v>
      </c>
      <c r="G49" s="5" t="s">
        <v>383</v>
      </c>
      <c r="H49" s="5" t="s">
        <v>383</v>
      </c>
      <c r="I49" s="5" t="s">
        <v>538</v>
      </c>
      <c r="J49" s="5" t="s">
        <v>508</v>
      </c>
      <c r="K49" s="5" t="s">
        <v>430</v>
      </c>
      <c r="L49" s="5">
        <f>_xlfn.XLOOKUP(TB_FNB[[#This Row],[MIS_Group1]],PL_Consol!B:B,PL_Consol!C:C)</f>
        <v>6</v>
      </c>
      <c r="M49" s="16">
        <v>0</v>
      </c>
      <c r="N49" s="16">
        <v>0</v>
      </c>
      <c r="O49" s="16">
        <v>93.76</v>
      </c>
      <c r="P49" s="16">
        <v>-1031.53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7">
        <v>0</v>
      </c>
      <c r="W49" s="17">
        <v>0</v>
      </c>
      <c r="X49" s="17">
        <v>0</v>
      </c>
      <c r="Y49" s="17">
        <f>SUM(TB_FNB[[#This Row],[Apr]:[Mar]])</f>
        <v>-937.77</v>
      </c>
      <c r="Z49" s="46">
        <v>0</v>
      </c>
      <c r="AA49" s="46">
        <f>_xlfn.XLOOKUP(TB_FNB[[#This Row],[Description]],[4]TBScheduleWise.rpt!$G$1:$G$65536,[4]TBScheduleWise.rpt!$F$1:$F$65536,0)</f>
        <v>0</v>
      </c>
      <c r="AB49" s="46"/>
    </row>
    <row r="50" spans="2:28" x14ac:dyDescent="0.3">
      <c r="B50" s="5" t="s">
        <v>403</v>
      </c>
      <c r="C50" s="5" t="s">
        <v>2</v>
      </c>
      <c r="D50" s="5" t="s">
        <v>198</v>
      </c>
      <c r="E50" s="5" t="s">
        <v>385</v>
      </c>
      <c r="F50" s="5" t="s">
        <v>386</v>
      </c>
      <c r="G50" s="5" t="s">
        <v>387</v>
      </c>
      <c r="H50" s="5" t="s">
        <v>387</v>
      </c>
      <c r="I50" s="5" t="s">
        <v>538</v>
      </c>
      <c r="J50" s="5" t="s">
        <v>268</v>
      </c>
      <c r="K50" s="5" t="s">
        <v>452</v>
      </c>
      <c r="L50" s="5">
        <f>_xlfn.XLOOKUP(TB_FNB[[#This Row],[MIS_Group1]],PL_Consol!B:B,PL_Consol!C:C)</f>
        <v>8</v>
      </c>
      <c r="M50" s="16">
        <v>0</v>
      </c>
      <c r="N50" s="16">
        <v>500.08</v>
      </c>
      <c r="O50" s="16">
        <v>154350.39000000001</v>
      </c>
      <c r="P50" s="16">
        <v>19150</v>
      </c>
      <c r="Q50" s="16">
        <v>1125.04</v>
      </c>
      <c r="R50" s="16">
        <v>1024.82</v>
      </c>
      <c r="S50" s="16">
        <v>0</v>
      </c>
      <c r="T50" s="16">
        <v>473.88</v>
      </c>
      <c r="U50" s="16">
        <v>388930.51</v>
      </c>
      <c r="V50" s="17">
        <v>45701.99</v>
      </c>
      <c r="W50" s="17">
        <v>0</v>
      </c>
      <c r="X50" s="17">
        <v>0</v>
      </c>
      <c r="Y50" s="17">
        <f>SUM(TB_FNB[[#This Row],[Apr]:[Mar]])</f>
        <v>611256.71</v>
      </c>
      <c r="Z50" s="46">
        <v>0</v>
      </c>
      <c r="AA50" s="46">
        <f>_xlfn.XLOOKUP(TB_FNB[[#This Row],[Description]],[4]TBScheduleWise.rpt!$G$1:$G$65536,[4]TBScheduleWise.rpt!$F$1:$F$65536,0)</f>
        <v>0</v>
      </c>
      <c r="AB50" s="46"/>
    </row>
    <row r="51" spans="2:28" x14ac:dyDescent="0.3">
      <c r="B51" s="5" t="s">
        <v>116</v>
      </c>
      <c r="C51" s="5" t="s">
        <v>2</v>
      </c>
      <c r="D51" s="5" t="s">
        <v>198</v>
      </c>
      <c r="E51" s="5" t="s">
        <v>385</v>
      </c>
      <c r="F51" s="5" t="s">
        <v>386</v>
      </c>
      <c r="G51" s="5" t="s">
        <v>400</v>
      </c>
      <c r="H51" s="5" t="s">
        <v>37</v>
      </c>
      <c r="I51" s="5" t="s">
        <v>538</v>
      </c>
      <c r="J51" s="5" t="s">
        <v>278</v>
      </c>
      <c r="K51" s="5" t="s">
        <v>428</v>
      </c>
      <c r="L51" s="5">
        <f>_xlfn.XLOOKUP(TB_FNB[[#This Row],[MIS_Group1]],PL_Consol!B:B,PL_Consol!C:C)</f>
        <v>11</v>
      </c>
      <c r="M51" s="16">
        <v>0</v>
      </c>
      <c r="N51" s="16">
        <v>2570</v>
      </c>
      <c r="O51" s="16">
        <v>0</v>
      </c>
      <c r="P51" s="16">
        <v>3039</v>
      </c>
      <c r="Q51" s="16">
        <v>2010</v>
      </c>
      <c r="R51" s="16">
        <v>0</v>
      </c>
      <c r="S51" s="16">
        <v>3490</v>
      </c>
      <c r="T51" s="16">
        <v>0</v>
      </c>
      <c r="U51" s="16">
        <v>4099.62</v>
      </c>
      <c r="V51" s="17">
        <v>2227</v>
      </c>
      <c r="W51" s="17">
        <v>0</v>
      </c>
      <c r="X51" s="17">
        <v>3706</v>
      </c>
      <c r="Y51" s="17">
        <f>SUM(TB_FNB[[#This Row],[Apr]:[Mar]])</f>
        <v>21141.62</v>
      </c>
      <c r="Z51" s="46">
        <v>1994</v>
      </c>
      <c r="AA51" s="46">
        <f>_xlfn.XLOOKUP(TB_FNB[[#This Row],[Description]],[4]TBScheduleWise.rpt!$G$1:$G$65536,[4]TBScheduleWise.rpt!$F$1:$F$65536,0)</f>
        <v>0</v>
      </c>
      <c r="AB51" s="46"/>
    </row>
    <row r="52" spans="2:28" x14ac:dyDescent="0.3">
      <c r="B52" s="5" t="s">
        <v>404</v>
      </c>
      <c r="C52" s="5" t="s">
        <v>2</v>
      </c>
      <c r="D52" s="5" t="s">
        <v>198</v>
      </c>
      <c r="E52" s="5" t="s">
        <v>385</v>
      </c>
      <c r="F52" s="5" t="s">
        <v>386</v>
      </c>
      <c r="G52" s="5" t="s">
        <v>406</v>
      </c>
      <c r="H52" s="5" t="s">
        <v>406</v>
      </c>
      <c r="I52" s="5" t="s">
        <v>538</v>
      </c>
      <c r="J52" s="5" t="s">
        <v>302</v>
      </c>
      <c r="K52" s="5" t="s">
        <v>302</v>
      </c>
      <c r="L52" s="5">
        <f>_xlfn.XLOOKUP(TB_FNB[[#This Row],[MIS_Group1]],PL_Consol!B:B,PL_Consol!C:C)</f>
        <v>21</v>
      </c>
      <c r="M52" s="16">
        <v>0</v>
      </c>
      <c r="N52" s="16">
        <v>0</v>
      </c>
      <c r="O52" s="16">
        <v>0</v>
      </c>
      <c r="P52" s="16">
        <v>0</v>
      </c>
      <c r="Q52" s="16">
        <v>105750.42</v>
      </c>
      <c r="R52" s="16">
        <v>0</v>
      </c>
      <c r="S52" s="16">
        <v>412</v>
      </c>
      <c r="T52" s="16">
        <v>412</v>
      </c>
      <c r="U52" s="16">
        <v>404</v>
      </c>
      <c r="V52" s="17">
        <v>0</v>
      </c>
      <c r="W52" s="17">
        <v>0</v>
      </c>
      <c r="X52" s="17">
        <v>0</v>
      </c>
      <c r="Y52" s="17">
        <f>SUM(TB_FNB[[#This Row],[Apr]:[Mar]])</f>
        <v>106978.42</v>
      </c>
      <c r="Z52" s="46">
        <v>0</v>
      </c>
      <c r="AA52" s="46">
        <f>_xlfn.XLOOKUP(TB_FNB[[#This Row],[Description]],[4]TBScheduleWise.rpt!$G$1:$G$65536,[4]TBScheduleWise.rpt!$F$1:$F$65536,0)</f>
        <v>3540</v>
      </c>
      <c r="AB52" s="46"/>
    </row>
    <row r="53" spans="2:28" x14ac:dyDescent="0.3">
      <c r="B53" s="5" t="s">
        <v>405</v>
      </c>
      <c r="C53" s="5" t="s">
        <v>2</v>
      </c>
      <c r="D53" s="5" t="s">
        <v>198</v>
      </c>
      <c r="E53" s="5" t="s">
        <v>385</v>
      </c>
      <c r="F53" s="5" t="s">
        <v>386</v>
      </c>
      <c r="G53" s="5" t="s">
        <v>407</v>
      </c>
      <c r="H53" s="5" t="s">
        <v>407</v>
      </c>
      <c r="I53" s="5" t="s">
        <v>538</v>
      </c>
      <c r="J53" s="5" t="s">
        <v>302</v>
      </c>
      <c r="K53" s="5" t="s">
        <v>453</v>
      </c>
      <c r="L53" s="5">
        <f>_xlfn.XLOOKUP(TB_FNB[[#This Row],[MIS_Group1]],PL_Consol!B:B,PL_Consol!C:C)</f>
        <v>21</v>
      </c>
      <c r="M53" s="16">
        <v>0</v>
      </c>
      <c r="N53" s="16">
        <v>0</v>
      </c>
      <c r="O53" s="16">
        <v>0</v>
      </c>
      <c r="P53" s="16">
        <v>39483</v>
      </c>
      <c r="Q53" s="16">
        <v>7434</v>
      </c>
      <c r="R53" s="16">
        <v>2631.4</v>
      </c>
      <c r="S53" s="16">
        <v>0</v>
      </c>
      <c r="T53" s="16">
        <v>0</v>
      </c>
      <c r="U53" s="16">
        <v>0</v>
      </c>
      <c r="V53" s="17">
        <v>24851</v>
      </c>
      <c r="W53" s="17">
        <v>0</v>
      </c>
      <c r="X53" s="17">
        <v>5629</v>
      </c>
      <c r="Y53" s="17">
        <f>SUM(TB_FNB[[#This Row],[Apr]:[Mar]])</f>
        <v>80028.399999999994</v>
      </c>
      <c r="Z53" s="46">
        <v>5204</v>
      </c>
      <c r="AA53" s="46">
        <f>_xlfn.XLOOKUP(TB_FNB[[#This Row],[Description]],[4]TBScheduleWise.rpt!$G$1:$G$65536,[4]TBScheduleWise.rpt!$F$1:$F$65536,0)</f>
        <v>4720</v>
      </c>
      <c r="AB53" s="46"/>
    </row>
    <row r="54" spans="2:28" x14ac:dyDescent="0.3">
      <c r="B54" s="5" t="s">
        <v>408</v>
      </c>
      <c r="C54" s="5" t="s">
        <v>2</v>
      </c>
      <c r="D54" s="5" t="s">
        <v>197</v>
      </c>
      <c r="E54" s="5" t="s">
        <v>381</v>
      </c>
      <c r="F54" s="5" t="s">
        <v>3</v>
      </c>
      <c r="G54" s="5" t="s">
        <v>383</v>
      </c>
      <c r="H54" s="5" t="s">
        <v>383</v>
      </c>
      <c r="I54" s="5" t="s">
        <v>538</v>
      </c>
      <c r="J54" s="5" t="s">
        <v>508</v>
      </c>
      <c r="K54" s="5" t="s">
        <v>271</v>
      </c>
      <c r="L54" s="5">
        <f>_xlfn.XLOOKUP(TB_FNB[[#This Row],[MIS_Group1]],PL_Consol!B:B,PL_Consol!C:C)</f>
        <v>6</v>
      </c>
      <c r="M54" s="16">
        <v>0</v>
      </c>
      <c r="N54" s="16">
        <v>-57.14</v>
      </c>
      <c r="O54" s="16">
        <v>0</v>
      </c>
      <c r="P54" s="16">
        <v>0</v>
      </c>
      <c r="Q54" s="16">
        <v>-28.57</v>
      </c>
      <c r="R54" s="16">
        <v>0</v>
      </c>
      <c r="S54" s="16">
        <v>0</v>
      </c>
      <c r="T54" s="16">
        <v>-57.14</v>
      </c>
      <c r="U54" s="16">
        <v>-33981.53</v>
      </c>
      <c r="V54" s="17">
        <v>-1902.86</v>
      </c>
      <c r="W54" s="17">
        <v>0</v>
      </c>
      <c r="X54" s="17">
        <v>0</v>
      </c>
      <c r="Y54" s="17">
        <f>SUM(TB_FNB[[#This Row],[Apr]:[Mar]])</f>
        <v>-36027.24</v>
      </c>
      <c r="Z54" s="46">
        <v>0</v>
      </c>
      <c r="AA54" s="46">
        <f>_xlfn.XLOOKUP(TB_FNB[[#This Row],[Description]],[4]TBScheduleWise.rpt!$G$1:$G$65536,[4]TBScheduleWise.rpt!$F$1:$F$65536,0)</f>
        <v>0</v>
      </c>
      <c r="AB54" s="46"/>
    </row>
    <row r="55" spans="2:28" x14ac:dyDescent="0.3">
      <c r="B55" s="5" t="s">
        <v>409</v>
      </c>
      <c r="C55" s="5" t="s">
        <v>2</v>
      </c>
      <c r="D55" s="5" t="s">
        <v>198</v>
      </c>
      <c r="E55" s="5" t="s">
        <v>385</v>
      </c>
      <c r="F55" s="5" t="s">
        <v>386</v>
      </c>
      <c r="G55" s="5" t="s">
        <v>387</v>
      </c>
      <c r="H55" s="5" t="s">
        <v>387</v>
      </c>
      <c r="I55" s="5" t="s">
        <v>538</v>
      </c>
      <c r="J55" s="5" t="s">
        <v>268</v>
      </c>
      <c r="K55" s="5" t="s">
        <v>454</v>
      </c>
      <c r="L55" s="5">
        <f>_xlfn.XLOOKUP(TB_FNB[[#This Row],[MIS_Group1]],PL_Consol!B:B,PL_Consol!C:C)</f>
        <v>8</v>
      </c>
      <c r="M55" s="16">
        <v>0</v>
      </c>
      <c r="N55" s="16">
        <v>0</v>
      </c>
      <c r="O55" s="16">
        <v>0</v>
      </c>
      <c r="P55" s="16">
        <v>25370</v>
      </c>
      <c r="Q55" s="16">
        <v>46695.8</v>
      </c>
      <c r="R55" s="16">
        <v>14407.08</v>
      </c>
      <c r="S55" s="16">
        <v>0</v>
      </c>
      <c r="T55" s="16">
        <v>82000.02</v>
      </c>
      <c r="U55" s="16">
        <v>9534.4</v>
      </c>
      <c r="V55" s="17">
        <v>12980</v>
      </c>
      <c r="W55" s="17">
        <v>0</v>
      </c>
      <c r="X55" s="17">
        <v>0</v>
      </c>
      <c r="Y55" s="17">
        <f>SUM(TB_FNB[[#This Row],[Apr]:[Mar]])</f>
        <v>190987.30000000002</v>
      </c>
      <c r="Z55" s="46">
        <v>31063.43</v>
      </c>
      <c r="AA55" s="46">
        <f>_xlfn.XLOOKUP(TB_FNB[[#This Row],[Description]],[4]TBScheduleWise.rpt!$G$1:$G$65536,[4]TBScheduleWise.rpt!$F$1:$F$65536,0)</f>
        <v>0</v>
      </c>
      <c r="AB55" s="46"/>
    </row>
    <row r="56" spans="2:28" x14ac:dyDescent="0.3">
      <c r="B56" s="5" t="s">
        <v>410</v>
      </c>
      <c r="C56" s="5" t="s">
        <v>2</v>
      </c>
      <c r="D56" s="5" t="s">
        <v>198</v>
      </c>
      <c r="E56" s="5" t="s">
        <v>385</v>
      </c>
      <c r="F56" s="5" t="s">
        <v>386</v>
      </c>
      <c r="G56" s="5" t="s">
        <v>411</v>
      </c>
      <c r="H56" s="5" t="s">
        <v>411</v>
      </c>
      <c r="I56" s="5" t="s">
        <v>538</v>
      </c>
      <c r="J56" s="5" t="s">
        <v>288</v>
      </c>
      <c r="K56" s="5" t="s">
        <v>455</v>
      </c>
      <c r="L56" s="5">
        <f>_xlfn.XLOOKUP(TB_FNB[[#This Row],[MIS_Group1]],PL_Consol!B:B,PL_Consol!C:C)</f>
        <v>15</v>
      </c>
      <c r="M56" s="16">
        <v>0</v>
      </c>
      <c r="N56" s="16">
        <v>0</v>
      </c>
      <c r="O56" s="16">
        <v>3140</v>
      </c>
      <c r="P56" s="16">
        <v>4770</v>
      </c>
      <c r="Q56" s="16">
        <v>1600</v>
      </c>
      <c r="R56" s="16">
        <v>0</v>
      </c>
      <c r="S56" s="16">
        <v>19850</v>
      </c>
      <c r="T56" s="16">
        <v>100916</v>
      </c>
      <c r="U56" s="16">
        <v>0</v>
      </c>
      <c r="V56" s="17">
        <v>1400</v>
      </c>
      <c r="W56" s="17">
        <v>0</v>
      </c>
      <c r="X56" s="17">
        <v>0</v>
      </c>
      <c r="Y56" s="17">
        <f>SUM(TB_FNB[[#This Row],[Apr]:[Mar]])</f>
        <v>131676</v>
      </c>
      <c r="Z56" s="46">
        <v>0</v>
      </c>
      <c r="AA56" s="46">
        <f>_xlfn.XLOOKUP(TB_FNB[[#This Row],[Description]],[4]TBScheduleWise.rpt!$G$1:$G$65536,[4]TBScheduleWise.rpt!$F$1:$F$65536,0)</f>
        <v>0</v>
      </c>
      <c r="AB56" s="46"/>
    </row>
    <row r="57" spans="2:28" x14ac:dyDescent="0.3">
      <c r="B57" s="5" t="s">
        <v>412</v>
      </c>
      <c r="C57" s="5" t="s">
        <v>2</v>
      </c>
      <c r="D57" s="5" t="s">
        <v>198</v>
      </c>
      <c r="E57" s="5" t="s">
        <v>385</v>
      </c>
      <c r="F57" s="5" t="s">
        <v>386</v>
      </c>
      <c r="G57" s="5" t="s">
        <v>394</v>
      </c>
      <c r="H57" s="5" t="s">
        <v>414</v>
      </c>
      <c r="I57" s="5" t="s">
        <v>538</v>
      </c>
      <c r="J57" s="5" t="s">
        <v>289</v>
      </c>
      <c r="K57" s="5" t="s">
        <v>271</v>
      </c>
      <c r="L57" s="5">
        <f>_xlfn.XLOOKUP(TB_FNB[[#This Row],[MIS_Group1]],PL_Consol!B:B,PL_Consol!C:C)</f>
        <v>12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7">
        <v>0</v>
      </c>
      <c r="W57" s="17">
        <v>0</v>
      </c>
      <c r="X57" s="17">
        <v>0</v>
      </c>
      <c r="Y57" s="17">
        <f>SUM(TB_FNB[[#This Row],[Apr]:[Mar]])</f>
        <v>0</v>
      </c>
      <c r="Z57" s="46">
        <v>0</v>
      </c>
      <c r="AA57" s="46">
        <f>_xlfn.XLOOKUP(TB_FNB[[#This Row],[Description]],[4]TBScheduleWise.rpt!$G$1:$G$65536,[4]TBScheduleWise.rpt!$F$1:$F$65536,0)</f>
        <v>0</v>
      </c>
      <c r="AB57" s="46"/>
    </row>
    <row r="58" spans="2:28" x14ac:dyDescent="0.3">
      <c r="B58" s="5" t="s">
        <v>413</v>
      </c>
      <c r="C58" s="5" t="s">
        <v>2</v>
      </c>
      <c r="D58" s="5" t="s">
        <v>198</v>
      </c>
      <c r="E58" s="5" t="s">
        <v>385</v>
      </c>
      <c r="F58" s="5" t="s">
        <v>386</v>
      </c>
      <c r="G58" s="5" t="s">
        <v>400</v>
      </c>
      <c r="H58" s="5" t="s">
        <v>37</v>
      </c>
      <c r="I58" s="5" t="s">
        <v>538</v>
      </c>
      <c r="J58" s="55" t="s">
        <v>325</v>
      </c>
      <c r="K58" s="5" t="s">
        <v>456</v>
      </c>
      <c r="L58" s="5">
        <f>_xlfn.XLOOKUP(TB_FNB[[#This Row],[MIS_Group1]],PL_Consol!B:B,PL_Consol!C:C)</f>
        <v>25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7">
        <v>0</v>
      </c>
      <c r="W58" s="17">
        <v>600</v>
      </c>
      <c r="X58" s="17">
        <v>0</v>
      </c>
      <c r="Y58" s="17">
        <f>SUM(TB_FNB[[#This Row],[Apr]:[Mar]])</f>
        <v>600</v>
      </c>
      <c r="Z58" s="46">
        <v>0</v>
      </c>
      <c r="AA58" s="46">
        <f>_xlfn.XLOOKUP(TB_FNB[[#This Row],[Description]],[4]TBScheduleWise.rpt!$G$1:$G$65536,[4]TBScheduleWise.rpt!$F$1:$F$65536,0)</f>
        <v>4000</v>
      </c>
      <c r="AB58" s="46"/>
    </row>
    <row r="59" spans="2:28" x14ac:dyDescent="0.3">
      <c r="B59" s="5" t="s">
        <v>43</v>
      </c>
      <c r="C59" s="5" t="s">
        <v>2</v>
      </c>
      <c r="D59" s="5" t="s">
        <v>198</v>
      </c>
      <c r="E59" s="5" t="s">
        <v>385</v>
      </c>
      <c r="F59" s="5" t="s">
        <v>386</v>
      </c>
      <c r="G59" s="5" t="s">
        <v>407</v>
      </c>
      <c r="H59" s="5" t="s">
        <v>407</v>
      </c>
      <c r="I59" s="5" t="s">
        <v>538</v>
      </c>
      <c r="J59" s="5" t="s">
        <v>270</v>
      </c>
      <c r="K59" s="5" t="s">
        <v>507</v>
      </c>
      <c r="L59" s="5">
        <f>_xlfn.XLOOKUP(TB_FNB[[#This Row],[MIS_Group1]],PL_Consol!B:B,PL_Consol!C:C)</f>
        <v>26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f>SUM(TB_FNB[[#This Row],[Apr]:[Mar]])</f>
        <v>0</v>
      </c>
      <c r="Z59" s="46">
        <v>36923</v>
      </c>
      <c r="AA59" s="46">
        <f>_xlfn.XLOOKUP(TB_FNB[[#This Row],[Description]],[4]TBScheduleWise.rpt!$G$1:$G$65536,[4]TBScheduleWise.rpt!$F$1:$F$65536,0)</f>
        <v>0</v>
      </c>
      <c r="AB59" s="46"/>
    </row>
    <row r="60" spans="2:28" x14ac:dyDescent="0.3">
      <c r="B60" s="5" t="s">
        <v>525</v>
      </c>
      <c r="C60" s="5" t="s">
        <v>2</v>
      </c>
      <c r="D60" s="5" t="s">
        <v>198</v>
      </c>
      <c r="E60" s="5" t="s">
        <v>385</v>
      </c>
      <c r="F60" s="5" t="s">
        <v>386</v>
      </c>
      <c r="G60" s="5"/>
      <c r="H60" s="5"/>
      <c r="I60" s="5" t="s">
        <v>538</v>
      </c>
      <c r="J60" s="5" t="s">
        <v>270</v>
      </c>
      <c r="K60" s="5" t="s">
        <v>507</v>
      </c>
      <c r="L60" s="5">
        <f>_xlfn.XLOOKUP(TB_FNB[[#This Row],[MIS_Group1]],PL_Consol!B:B,PL_Consol!C:C)</f>
        <v>26</v>
      </c>
      <c r="M60" s="17">
        <v>7000</v>
      </c>
      <c r="N60" s="17">
        <v>1620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f>SUM(TB_FNB[[#This Row],[Apr]:[Mar]])</f>
        <v>8620</v>
      </c>
      <c r="Z60" s="46">
        <v>0</v>
      </c>
      <c r="AA60" s="46">
        <f>_xlfn.XLOOKUP(TB_FNB[[#This Row],[Description]],[4]TBScheduleWise.rpt!$G$1:$G$65536,[4]TBScheduleWise.rpt!$F$1:$F$65536,0)</f>
        <v>0</v>
      </c>
      <c r="AB60" s="46"/>
    </row>
    <row r="61" spans="2:28" x14ac:dyDescent="0.3">
      <c r="B61" s="5" t="s">
        <v>526</v>
      </c>
      <c r="C61" s="5" t="s">
        <v>2</v>
      </c>
      <c r="D61" s="5" t="s">
        <v>198</v>
      </c>
      <c r="E61" s="5" t="s">
        <v>385</v>
      </c>
      <c r="F61" s="5" t="s">
        <v>386</v>
      </c>
      <c r="G61" s="5"/>
      <c r="H61" s="5"/>
      <c r="I61" s="5" t="s">
        <v>538</v>
      </c>
      <c r="J61" s="5" t="s">
        <v>272</v>
      </c>
      <c r="K61" s="5" t="s">
        <v>440</v>
      </c>
      <c r="L61" s="5">
        <f>_xlfn.XLOOKUP(TB_FNB[[#This Row],[MIS_Group1]],PL_Consol!B:B,PL_Consol!C:C)</f>
        <v>10</v>
      </c>
      <c r="M61" s="17"/>
      <c r="N61" s="17"/>
      <c r="O61" s="17"/>
      <c r="P61" s="17">
        <v>10500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f>SUM(TB_FNB[[#This Row],[Apr]:[Mar]])</f>
        <v>10500</v>
      </c>
      <c r="Z61" s="46">
        <v>0</v>
      </c>
      <c r="AA61" s="46">
        <f>_xlfn.XLOOKUP(TB_FNB[[#This Row],[Description]],[4]TBScheduleWise.rpt!$G$1:$G$65536,[4]TBScheduleWise.rpt!$F$1:$F$65536,0)</f>
        <v>0</v>
      </c>
      <c r="AB61" s="46"/>
    </row>
    <row r="62" spans="2:28" x14ac:dyDescent="0.3">
      <c r="B62" s="5" t="s">
        <v>527</v>
      </c>
      <c r="C62" s="5" t="s">
        <v>2</v>
      </c>
      <c r="D62" s="5" t="s">
        <v>197</v>
      </c>
      <c r="E62" s="5" t="s">
        <v>381</v>
      </c>
      <c r="F62" s="5" t="s">
        <v>3</v>
      </c>
      <c r="G62" s="5" t="s">
        <v>12</v>
      </c>
      <c r="H62" s="5" t="s">
        <v>12</v>
      </c>
      <c r="I62" s="5" t="s">
        <v>538</v>
      </c>
      <c r="J62" s="5" t="s">
        <v>222</v>
      </c>
      <c r="K62" s="5" t="s">
        <v>222</v>
      </c>
      <c r="L62" s="5">
        <f>_xlfn.XLOOKUP(TB_FNB[[#This Row],[MIS_Group1]],PL_Consol!B:B,PL_Consol!C:C)</f>
        <v>7</v>
      </c>
      <c r="M62" s="17"/>
      <c r="N62" s="17"/>
      <c r="O62" s="17"/>
      <c r="P62" s="17"/>
      <c r="Q62" s="17"/>
      <c r="R62" s="17">
        <v>-12991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f>SUM(TB_FNB[[#This Row],[Apr]:[Mar]])</f>
        <v>-12991</v>
      </c>
      <c r="Z62" s="46">
        <v>0</v>
      </c>
      <c r="AA62" s="46">
        <f>_xlfn.XLOOKUP(TB_FNB[[#This Row],[Description]],[4]TBScheduleWise.rpt!$G$1:$G$65536,[4]TBScheduleWise.rpt!$F$1:$F$65536,0)</f>
        <v>0</v>
      </c>
      <c r="AB62" s="46"/>
    </row>
    <row r="63" spans="2:28" x14ac:dyDescent="0.3">
      <c r="B63" s="5" t="s">
        <v>528</v>
      </c>
      <c r="C63" s="5" t="s">
        <v>2</v>
      </c>
      <c r="D63" s="5" t="s">
        <v>197</v>
      </c>
      <c r="E63" s="5" t="s">
        <v>381</v>
      </c>
      <c r="F63" s="5" t="s">
        <v>3</v>
      </c>
      <c r="G63" s="5" t="s">
        <v>383</v>
      </c>
      <c r="H63" s="5" t="s">
        <v>383</v>
      </c>
      <c r="I63" s="5" t="s">
        <v>538</v>
      </c>
      <c r="J63" s="5" t="s">
        <v>508</v>
      </c>
      <c r="K63" s="5" t="s">
        <v>425</v>
      </c>
      <c r="L63" s="5">
        <f>_xlfn.XLOOKUP(TB_FNB[[#This Row],[MIS_Group1]],PL_Consol!B:B,PL_Consol!C:C)</f>
        <v>6</v>
      </c>
      <c r="M63" s="17"/>
      <c r="N63" s="17"/>
      <c r="O63" s="17"/>
      <c r="P63" s="17"/>
      <c r="Q63" s="17"/>
      <c r="R63" s="17">
        <v>-3699.77</v>
      </c>
      <c r="S63" s="17">
        <v>-21290.34</v>
      </c>
      <c r="T63" s="17">
        <v>21582.880000000001</v>
      </c>
      <c r="U63" s="17">
        <v>-23900.59</v>
      </c>
      <c r="V63" s="17">
        <v>-31486.34</v>
      </c>
      <c r="W63" s="17">
        <v>-23384</v>
      </c>
      <c r="X63" s="17">
        <v>-25629.39</v>
      </c>
      <c r="Y63" s="17">
        <f>SUM(TB_FNB[[#This Row],[Apr]:[Mar]])</f>
        <v>-107807.55</v>
      </c>
      <c r="Z63" s="46">
        <v>-35859.93</v>
      </c>
      <c r="AA63" s="46">
        <f>_xlfn.XLOOKUP(TB_FNB[[#This Row],[Description]],[4]TBScheduleWise.rpt!$G$1:$G$65536,[4]TBScheduleWise.rpt!$F$1:$F$65536,0)</f>
        <v>-25874.49</v>
      </c>
      <c r="AB63" s="46"/>
    </row>
    <row r="64" spans="2:28" x14ac:dyDescent="0.3">
      <c r="B64" s="5" t="s">
        <v>638</v>
      </c>
      <c r="C64" s="5" t="s">
        <v>2</v>
      </c>
      <c r="D64" s="5" t="s">
        <v>198</v>
      </c>
      <c r="E64" s="5" t="s">
        <v>385</v>
      </c>
      <c r="F64" s="5" t="s">
        <v>386</v>
      </c>
      <c r="G64" s="5"/>
      <c r="H64" s="5"/>
      <c r="I64" s="5" t="s">
        <v>538</v>
      </c>
      <c r="J64" s="5" t="s">
        <v>289</v>
      </c>
      <c r="K64" s="5" t="s">
        <v>427</v>
      </c>
      <c r="L64" s="5">
        <f>_xlfn.XLOOKUP(TB_FNB[[#This Row],[MIS_Group1]],PL_Consol!B:B,PL_Consol!C:C)</f>
        <v>12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>
        <f>SUM(TB_FNB[[#This Row],[Apr]:[Mar]])</f>
        <v>0</v>
      </c>
      <c r="Z64" s="48">
        <v>16520</v>
      </c>
      <c r="AA64" s="48">
        <f>_xlfn.XLOOKUP(TB_FNB[[#This Row],[Description]],[4]TBScheduleWise.rpt!$G$1:$G$65536,[4]TBScheduleWise.rpt!$F$1:$F$65536,0)</f>
        <v>0</v>
      </c>
      <c r="AB64" s="46"/>
    </row>
    <row r="65" spans="2:28" x14ac:dyDescent="0.3">
      <c r="B65" s="5" t="s">
        <v>485</v>
      </c>
      <c r="C65" s="5"/>
      <c r="D65" s="5"/>
      <c r="E65" s="5"/>
      <c r="F65" s="5"/>
      <c r="G65" s="5"/>
      <c r="H65" s="5"/>
      <c r="I65" s="5" t="s">
        <v>538</v>
      </c>
      <c r="J65" s="5" t="s">
        <v>332</v>
      </c>
      <c r="K65" s="5"/>
      <c r="L65" s="5">
        <f>_xlfn.XLOOKUP(TB_FNB[[#This Row],[MIS_Group1]],PL_Consol!B:B,PL_Consol!C:C)</f>
        <v>28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9">
        <f>SUM(TB_FNB[[#This Row],[Apr]:[Mar]])</f>
        <v>0</v>
      </c>
      <c r="Z65" s="48"/>
      <c r="AA65" s="48">
        <f>_xlfn.XLOOKUP(TB_FNB[[#This Row],[Description]],[4]TBScheduleWise.rpt!$G$1:$G$65536,[4]TBScheduleWise.rpt!$F$1:$F$65536,0)</f>
        <v>275439</v>
      </c>
      <c r="AB65" s="46"/>
    </row>
    <row r="66" spans="2:28" x14ac:dyDescent="0.3">
      <c r="B66" s="5" t="s">
        <v>253</v>
      </c>
      <c r="C66" s="5"/>
      <c r="D66" s="5"/>
      <c r="E66" s="5"/>
      <c r="F66" s="5"/>
      <c r="G66" s="5"/>
      <c r="H66" s="5"/>
      <c r="I66" s="5" t="s">
        <v>538</v>
      </c>
      <c r="J66" s="5" t="s">
        <v>204</v>
      </c>
      <c r="K66" s="5"/>
      <c r="L66" s="5">
        <f>_xlfn.XLOOKUP(TB_FNB[[#This Row],[MIS_Group1]],PL_Consol!B:B,PL_Consol!C:C)</f>
        <v>29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>
        <v>64</v>
      </c>
      <c r="X66" s="17">
        <v>0</v>
      </c>
      <c r="Y66" s="19">
        <f>SUM(TB_FNB[[#This Row],[Apr]:[Mar]])</f>
        <v>64</v>
      </c>
      <c r="Z66" s="48">
        <v>0</v>
      </c>
      <c r="AA66" s="48">
        <f>_xlfn.XLOOKUP(TB_FNB[[#This Row],[Description]],[4]TBScheduleWise.rpt!$G$1:$G$65536,[4]TBScheduleWise.rpt!$F$1:$F$65536,0)</f>
        <v>0</v>
      </c>
      <c r="AB66" s="46"/>
    </row>
    <row r="67" spans="2:28" x14ac:dyDescent="0.3">
      <c r="B67" s="5" t="s">
        <v>533</v>
      </c>
      <c r="C67" s="5"/>
      <c r="D67" s="5"/>
      <c r="E67" s="5"/>
      <c r="F67" s="5"/>
      <c r="G67" s="5"/>
      <c r="H67" s="5"/>
      <c r="I67" s="5" t="s">
        <v>538</v>
      </c>
      <c r="J67" s="5" t="s">
        <v>289</v>
      </c>
      <c r="K67" s="5"/>
      <c r="L67" s="5">
        <f>_xlfn.XLOOKUP(TB_FNB[[#This Row],[MIS_Group1]],PL_Consol!B:B,PL_Consol!C:C)</f>
        <v>12</v>
      </c>
      <c r="M67" s="17"/>
      <c r="N67" s="17"/>
      <c r="O67" s="17"/>
      <c r="P67" s="17"/>
      <c r="Q67" s="17"/>
      <c r="R67" s="17"/>
      <c r="S67" s="17"/>
      <c r="T67" s="17"/>
      <c r="U67" s="17"/>
      <c r="V67" s="17">
        <v>531</v>
      </c>
      <c r="W67" s="17">
        <v>0</v>
      </c>
      <c r="X67" s="17">
        <v>0</v>
      </c>
      <c r="Y67" s="17">
        <f>SUM(TB_FNB[[#This Row],[Apr]:[Mar]])</f>
        <v>531</v>
      </c>
      <c r="Z67" s="46">
        <v>0</v>
      </c>
      <c r="AA67" s="46">
        <f>_xlfn.XLOOKUP(TB_FNB[[#This Row],[Description]],[4]TBScheduleWise.rpt!$G$1:$G$65536,[4]TBScheduleWise.rpt!$F$1:$F$65536,0)</f>
        <v>0</v>
      </c>
      <c r="AB67" s="46"/>
    </row>
    <row r="68" spans="2:28" x14ac:dyDescent="0.3">
      <c r="B68" s="5" t="s">
        <v>163</v>
      </c>
      <c r="C68" s="5"/>
      <c r="D68" s="5"/>
      <c r="E68" s="5"/>
      <c r="F68" s="5"/>
      <c r="G68" s="5"/>
      <c r="H68" s="5"/>
      <c r="I68" s="5" t="s">
        <v>538</v>
      </c>
      <c r="J68" s="5" t="s">
        <v>289</v>
      </c>
      <c r="K68" s="5"/>
      <c r="L68" s="5">
        <f>_xlfn.XLOOKUP(TB_FNB[[#This Row],[MIS_Group1]],PL_Consol!B:B,PL_Consol!C:C)</f>
        <v>12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>
        <v>8525</v>
      </c>
      <c r="Y68" s="17">
        <f>SUM(TB_FNB[[#This Row],[Apr]:[Mar]])</f>
        <v>8525</v>
      </c>
      <c r="Z68" s="46">
        <v>0</v>
      </c>
      <c r="AA68" s="46">
        <f>_xlfn.XLOOKUP(TB_FNB[[#This Row],[Description]],[4]TBScheduleWise.rpt!$G$1:$G$65536,[4]TBScheduleWise.rpt!$F$1:$F$65536,0)</f>
        <v>0</v>
      </c>
      <c r="AB68" s="46"/>
    </row>
    <row r="69" spans="2:28" x14ac:dyDescent="0.3">
      <c r="B69" s="5" t="s">
        <v>619</v>
      </c>
      <c r="C69" s="5" t="s">
        <v>617</v>
      </c>
      <c r="D69" s="5" t="s">
        <v>198</v>
      </c>
      <c r="E69" s="5"/>
      <c r="F69" s="5"/>
      <c r="G69" s="5"/>
      <c r="H69" s="5"/>
      <c r="I69" s="5" t="s">
        <v>538</v>
      </c>
      <c r="J69" s="5" t="s">
        <v>278</v>
      </c>
      <c r="K69" s="5"/>
      <c r="L69" s="5">
        <f>_xlfn.XLOOKUP(TB_FNB[[#This Row],[MIS_Group1]],PL_Consol!B:B,PL_Consol!C:C)</f>
        <v>11</v>
      </c>
      <c r="M69" s="17">
        <v>660504.46530000016</v>
      </c>
      <c r="N69" s="17">
        <v>682521.28081000014</v>
      </c>
      <c r="O69" s="17">
        <v>660504.46530000016</v>
      </c>
      <c r="P69" s="17">
        <v>682521.28081000014</v>
      </c>
      <c r="Q69" s="17">
        <v>682521.28081000014</v>
      </c>
      <c r="R69" s="17">
        <v>660504.46530000016</v>
      </c>
      <c r="S69" s="17">
        <v>682521.28081000014</v>
      </c>
      <c r="T69" s="17">
        <v>660504.46530000016</v>
      </c>
      <c r="U69" s="17">
        <v>682521.28081000014</v>
      </c>
      <c r="V69" s="17">
        <v>682521.28081000014</v>
      </c>
      <c r="W69" s="17">
        <v>616470.83428000007</v>
      </c>
      <c r="X69" s="17">
        <v>682521.28081000014</v>
      </c>
      <c r="Y69" s="17">
        <f>SUM(TB_FNB[[#This Row],[Apr]:[Mar]])</f>
        <v>8036137.6611500029</v>
      </c>
      <c r="Z69" s="17">
        <v>682521.28081000014</v>
      </c>
      <c r="AA69" s="17">
        <v>682521.28081000014</v>
      </c>
      <c r="AB69" s="46"/>
    </row>
    <row r="70" spans="2:28" x14ac:dyDescent="0.3">
      <c r="B70" s="5" t="s">
        <v>621</v>
      </c>
      <c r="C70" s="5" t="s">
        <v>617</v>
      </c>
      <c r="D70" s="5" t="s">
        <v>198</v>
      </c>
      <c r="E70" s="5"/>
      <c r="F70" s="5"/>
      <c r="G70" s="5"/>
      <c r="H70" s="5"/>
      <c r="I70" s="5" t="s">
        <v>538</v>
      </c>
      <c r="J70" s="5" t="s">
        <v>278</v>
      </c>
      <c r="K70" s="5"/>
      <c r="L70" s="5">
        <f>_xlfn.XLOOKUP(TB_FNB[[#This Row],[MIS_Group1]],PL_Consol!B:B,PL_Consol!C:C)</f>
        <v>11</v>
      </c>
      <c r="M70" s="17">
        <v>20414.61</v>
      </c>
      <c r="N70" s="17">
        <v>21095.096999999998</v>
      </c>
      <c r="O70" s="17">
        <v>20414.61</v>
      </c>
      <c r="P70" s="17">
        <v>21095.096999999998</v>
      </c>
      <c r="Q70" s="17">
        <v>21095.096999999998</v>
      </c>
      <c r="R70" s="17">
        <v>20414.61</v>
      </c>
      <c r="S70" s="17">
        <v>21095.096999999998</v>
      </c>
      <c r="T70" s="17">
        <v>20414.61</v>
      </c>
      <c r="U70" s="17">
        <v>21095.096999999998</v>
      </c>
      <c r="V70" s="17">
        <v>21095.096999999998</v>
      </c>
      <c r="W70" s="17">
        <v>19053.635999999999</v>
      </c>
      <c r="X70" s="17">
        <v>21095.096999999998</v>
      </c>
      <c r="Y70" s="17">
        <f>SUM(TB_FNB[[#This Row],[Apr]:[Mar]])</f>
        <v>248377.755</v>
      </c>
      <c r="Z70" s="46">
        <v>0</v>
      </c>
      <c r="AA70" s="46">
        <v>21095.096999999998</v>
      </c>
      <c r="AB70" s="46"/>
    </row>
    <row r="71" spans="2:28" x14ac:dyDescent="0.3">
      <c r="B71" s="5" t="s">
        <v>624</v>
      </c>
      <c r="C71" s="5" t="s">
        <v>617</v>
      </c>
      <c r="D71" s="5" t="s">
        <v>198</v>
      </c>
      <c r="E71" s="5"/>
      <c r="F71" s="5"/>
      <c r="G71" s="5"/>
      <c r="H71" s="5"/>
      <c r="I71" s="5" t="s">
        <v>538</v>
      </c>
      <c r="J71" s="5" t="s">
        <v>272</v>
      </c>
      <c r="K71" s="5"/>
      <c r="L71" s="5">
        <f>_xlfn.XLOOKUP(TB_FNB[[#This Row],[MIS_Group1]],PL_Consol!B:B,PL_Consol!C:C)</f>
        <v>10</v>
      </c>
      <c r="M71" s="17">
        <v>26031.253662029401</v>
      </c>
      <c r="N71" s="17">
        <v>26031.253662029401</v>
      </c>
      <c r="O71" s="17">
        <v>26031.253662029401</v>
      </c>
      <c r="P71" s="17">
        <v>26031.253662029401</v>
      </c>
      <c r="Q71" s="17">
        <v>26031.253662029401</v>
      </c>
      <c r="R71" s="17">
        <v>26031.253662029401</v>
      </c>
      <c r="S71" s="17">
        <v>26031.253662029401</v>
      </c>
      <c r="T71" s="17">
        <v>26031.253662029401</v>
      </c>
      <c r="U71" s="17">
        <v>26031.253662029401</v>
      </c>
      <c r="V71" s="17">
        <v>26031.253662029401</v>
      </c>
      <c r="W71" s="17">
        <v>26031.253662029401</v>
      </c>
      <c r="X71" s="17">
        <v>26031.253662029401</v>
      </c>
      <c r="Y71" s="17">
        <f>SUM(TB_FNB[[#This Row],[Apr]:[Mar]])</f>
        <v>312375.04394435283</v>
      </c>
      <c r="Z71" s="46">
        <v>26031.253662029401</v>
      </c>
      <c r="AA71" s="46">
        <v>26031.253662029401</v>
      </c>
      <c r="AB71" s="46"/>
    </row>
    <row r="72" spans="2:28" x14ac:dyDescent="0.3">
      <c r="B72" s="69" t="s">
        <v>509</v>
      </c>
      <c r="C72" s="69" t="s">
        <v>570</v>
      </c>
      <c r="D72" s="69"/>
      <c r="E72" s="69"/>
      <c r="F72" s="69"/>
      <c r="G72" s="69"/>
      <c r="H72" s="69"/>
      <c r="I72" s="69" t="s">
        <v>538</v>
      </c>
      <c r="J72" s="69" t="s">
        <v>268</v>
      </c>
      <c r="K72" s="69" t="s">
        <v>509</v>
      </c>
      <c r="L72" s="69">
        <f>_xlfn.XLOOKUP(TB_FNB[[#This Row],[MIS_Group1]],PL_Consol!B:B,PL_Consol!C:C)</f>
        <v>8</v>
      </c>
      <c r="M72" s="70">
        <v>1160909.4800000002</v>
      </c>
      <c r="N72" s="70">
        <v>1203720.6300000001</v>
      </c>
      <c r="O72" s="70">
        <v>1465061.3900000001</v>
      </c>
      <c r="P72" s="70">
        <v>964935.42</v>
      </c>
      <c r="Q72" s="70">
        <v>1200240.1100000001</v>
      </c>
      <c r="R72" s="70">
        <v>1491413.12</v>
      </c>
      <c r="S72" s="70">
        <v>1280451.3900000001</v>
      </c>
      <c r="T72" s="70">
        <v>1110630.1000000001</v>
      </c>
      <c r="U72" s="70">
        <v>1023910.2</v>
      </c>
      <c r="V72" s="70">
        <v>1324915.1600000001</v>
      </c>
      <c r="W72" s="70">
        <v>1210568.1900000002</v>
      </c>
      <c r="X72" s="70">
        <v>1243477.7299999997</v>
      </c>
      <c r="Y72" s="70">
        <v>1160909.4800000002</v>
      </c>
      <c r="Z72" s="70">
        <v>1076341.3</v>
      </c>
      <c r="AA72" s="70">
        <v>1405519.78</v>
      </c>
      <c r="AB72" s="46"/>
    </row>
    <row r="73" spans="2:28" x14ac:dyDescent="0.3">
      <c r="B73" s="69" t="s">
        <v>510</v>
      </c>
      <c r="C73" s="69" t="s">
        <v>570</v>
      </c>
      <c r="D73" s="69"/>
      <c r="E73" s="69"/>
      <c r="F73" s="69"/>
      <c r="G73" s="69"/>
      <c r="H73" s="69"/>
      <c r="I73" s="69" t="s">
        <v>538</v>
      </c>
      <c r="J73" s="69" t="s">
        <v>268</v>
      </c>
      <c r="K73" s="69" t="s">
        <v>510</v>
      </c>
      <c r="L73" s="69">
        <f>_xlfn.XLOOKUP(TB_FNB[[#This Row],[MIS_Group1]],PL_Consol!B:B,PL_Consol!C:C)</f>
        <v>8</v>
      </c>
      <c r="M73" s="70">
        <v>-1203720.6300000001</v>
      </c>
      <c r="N73" s="70">
        <v>-1465061.3900000001</v>
      </c>
      <c r="O73" s="70">
        <v>-964935.42</v>
      </c>
      <c r="P73" s="70">
        <v>-1200240.1100000001</v>
      </c>
      <c r="Q73" s="70">
        <v>-1491413.12</v>
      </c>
      <c r="R73" s="70">
        <v>-1280451.3900000001</v>
      </c>
      <c r="S73" s="70">
        <v>-1110630.1000000001</v>
      </c>
      <c r="T73" s="70">
        <v>-1023910.2</v>
      </c>
      <c r="U73" s="70">
        <v>-1324915.1600000001</v>
      </c>
      <c r="V73" s="70">
        <v>-1210568.1900000002</v>
      </c>
      <c r="W73" s="70">
        <v>-1243477.7299999997</v>
      </c>
      <c r="X73" s="70">
        <v>-1076341.2999999998</v>
      </c>
      <c r="Y73" s="71">
        <v>-1076341.2999999998</v>
      </c>
      <c r="Z73" s="71">
        <v>-1405519.78</v>
      </c>
      <c r="AA73" s="71">
        <f>_xlfn.XLOOKUP(TB_FNB[[#This Row],[Description]],[4]TBScheduleWise.rpt!$G$1:$G$65536,[4]TBScheduleWise.rpt!$F$1:$F$65536,0)</f>
        <v>0</v>
      </c>
      <c r="AB73" s="48"/>
    </row>
    <row r="74" spans="2:28" x14ac:dyDescent="0.3">
      <c r="B74" s="7" t="s">
        <v>415</v>
      </c>
      <c r="C74" s="7" t="s">
        <v>416</v>
      </c>
      <c r="D74" s="7" t="s">
        <v>416</v>
      </c>
      <c r="E74" s="7" t="s">
        <v>415</v>
      </c>
      <c r="F74" s="7" t="s">
        <v>417</v>
      </c>
      <c r="G74" s="7" t="s">
        <v>418</v>
      </c>
      <c r="H74" s="7" t="s">
        <v>417</v>
      </c>
      <c r="I74" s="7"/>
      <c r="J74" s="7" t="s">
        <v>419</v>
      </c>
      <c r="K74" s="7" t="s">
        <v>417</v>
      </c>
      <c r="L74" s="7"/>
      <c r="M74" s="9">
        <f>SUBTOTAL(109,TB_FNB[Apr])</f>
        <v>-877059.98103797028</v>
      </c>
      <c r="N74" s="9">
        <f>SUBTOTAL(109,TB_FNB[May])</f>
        <v>-1685378.0285279721</v>
      </c>
      <c r="O74" s="9">
        <f>SUBTOTAL(109,TB_FNB[Jun])</f>
        <v>-823634.88103796972</v>
      </c>
      <c r="P74" s="9">
        <f>SUBTOTAL(109,TB_FNB[Jul])</f>
        <v>-2213608.3985279691</v>
      </c>
      <c r="Q74" s="9">
        <f>SUBTOTAL(109,TB_FNB[Aug])</f>
        <v>-1065970.7885279723</v>
      </c>
      <c r="R74" s="9">
        <f>SUBTOTAL(109,TB_FNB[Sep])</f>
        <v>-2079644.9810379748</v>
      </c>
      <c r="S74" s="9">
        <f>SUBTOTAL(109,TB_FNB[Oct])</f>
        <v>-1504081.9185279687</v>
      </c>
      <c r="T74" s="9">
        <f>SUBTOTAL(109,TB_FNB[Nov])</f>
        <v>-1021444.8310379738</v>
      </c>
      <c r="U74" s="9">
        <f>SUBTOTAL(109,TB_FNB[Dec])</f>
        <v>-1016097.6585279701</v>
      </c>
      <c r="V74" s="9">
        <f>SUBTOTAL(109,TB_FNB[Jan])</f>
        <v>-1529186.488527966</v>
      </c>
      <c r="W74" s="9">
        <f>SUBTOTAL(109,TB_FNB[Feb])</f>
        <v>-1363695.7960579705</v>
      </c>
      <c r="X74" s="9">
        <f>SUBTOTAL(109,TB_FNB[Mar])</f>
        <v>-919977.5385279695</v>
      </c>
      <c r="Y74" s="9">
        <f>SUBTOTAL(109,TB_FNB[YTD])</f>
        <v>-16099781.289905641</v>
      </c>
      <c r="Z74" s="148">
        <f>SUBTOTAL(109,TB_FNB[Apr_26])</f>
        <v>-920533.00552797422</v>
      </c>
      <c r="AA74" s="148">
        <f>SUBTOTAL(109,TB_FNB[May-26])</f>
        <v>38879.511472028913</v>
      </c>
      <c r="AB74" s="50"/>
    </row>
    <row r="75" spans="2:28" x14ac:dyDescent="0.3">
      <c r="AA75" s="168"/>
    </row>
    <row r="76" spans="2:28" x14ac:dyDescent="0.3">
      <c r="AA76" s="169"/>
    </row>
    <row r="77" spans="2:28" x14ac:dyDescent="0.3">
      <c r="W77" s="24"/>
      <c r="AA77" s="24"/>
    </row>
    <row r="78" spans="2:28" x14ac:dyDescent="0.3">
      <c r="Y78" s="14"/>
    </row>
  </sheetData>
  <phoneticPr fontId="7" type="noConversion"/>
  <conditionalFormatting sqref="B2:B74">
    <cfRule type="duplicateValues" dxfId="139" priority="870"/>
  </conditionalFormatting>
  <conditionalFormatting sqref="B74:B1048576 B1:B58">
    <cfRule type="duplicateValues" dxfId="138" priority="455"/>
    <cfRule type="duplicateValues" dxfId="137" priority="454"/>
    <cfRule type="duplicateValues" dxfId="136" priority="453"/>
    <cfRule type="duplicateValues" dxfId="135" priority="456"/>
    <cfRule type="duplicateValues" dxfId="134" priority="457"/>
    <cfRule type="duplicateValues" dxfId="133" priority="458"/>
  </conditionalFormatting>
  <conditionalFormatting sqref="B75:B1048576 B1">
    <cfRule type="duplicateValues" dxfId="132" priority="139"/>
    <cfRule type="duplicateValues" dxfId="131" priority="138"/>
    <cfRule type="duplicateValues" dxfId="130" priority="137"/>
  </conditionalFormatting>
  <conditionalFormatting sqref="B75:B1048576 B1:B58">
    <cfRule type="duplicateValues" dxfId="129" priority="207"/>
  </conditionalFormatting>
  <conditionalFormatting sqref="K23:L23">
    <cfRule type="duplicateValues" dxfId="128" priority="127"/>
    <cfRule type="duplicateValues" dxfId="127" priority="126"/>
    <cfRule type="duplicateValues" dxfId="126" priority="125"/>
    <cfRule type="duplicateValues" dxfId="125" priority="124"/>
    <cfRule type="duplicateValues" dxfId="124" priority="123"/>
    <cfRule type="duplicateValues" dxfId="123" priority="122"/>
    <cfRule type="duplicateValues" dxfId="122" priority="121"/>
  </conditionalFormatting>
  <conditionalFormatting sqref="K24:L24">
    <cfRule type="duplicateValues" dxfId="121" priority="120"/>
    <cfRule type="duplicateValues" dxfId="120" priority="119"/>
    <cfRule type="duplicateValues" dxfId="119" priority="118"/>
    <cfRule type="duplicateValues" dxfId="118" priority="117"/>
    <cfRule type="duplicateValues" dxfId="117" priority="116"/>
    <cfRule type="duplicateValues" dxfId="116" priority="115"/>
    <cfRule type="duplicateValues" dxfId="115" priority="114"/>
  </conditionalFormatting>
  <conditionalFormatting sqref="K25:L25">
    <cfRule type="duplicateValues" dxfId="114" priority="113"/>
    <cfRule type="duplicateValues" dxfId="113" priority="112"/>
    <cfRule type="duplicateValues" dxfId="112" priority="111"/>
    <cfRule type="duplicateValues" dxfId="111" priority="110"/>
    <cfRule type="duplicateValues" dxfId="110" priority="109"/>
    <cfRule type="duplicateValues" dxfId="109" priority="108"/>
    <cfRule type="duplicateValues" dxfId="108" priority="107"/>
  </conditionalFormatting>
  <conditionalFormatting sqref="K26:L26">
    <cfRule type="duplicateValues" dxfId="107" priority="102"/>
    <cfRule type="duplicateValues" dxfId="106" priority="101"/>
    <cfRule type="duplicateValues" dxfId="105" priority="100"/>
    <cfRule type="duplicateValues" dxfId="104" priority="104"/>
    <cfRule type="duplicateValues" dxfId="103" priority="106"/>
    <cfRule type="duplicateValues" dxfId="102" priority="105"/>
    <cfRule type="duplicateValues" dxfId="101" priority="103"/>
  </conditionalFormatting>
  <conditionalFormatting sqref="K27:L27">
    <cfRule type="duplicateValues" dxfId="100" priority="95"/>
    <cfRule type="duplicateValues" dxfId="99" priority="94"/>
    <cfRule type="duplicateValues" dxfId="98" priority="93"/>
    <cfRule type="duplicateValues" dxfId="97" priority="99"/>
    <cfRule type="duplicateValues" dxfId="96" priority="98"/>
    <cfRule type="duplicateValues" dxfId="95" priority="97"/>
    <cfRule type="duplicateValues" dxfId="94" priority="96"/>
  </conditionalFormatting>
  <conditionalFormatting sqref="K28:L28">
    <cfRule type="duplicateValues" dxfId="93" priority="92"/>
    <cfRule type="duplicateValues" dxfId="92" priority="91"/>
    <cfRule type="duplicateValues" dxfId="91" priority="90"/>
    <cfRule type="duplicateValues" dxfId="90" priority="89"/>
    <cfRule type="duplicateValues" dxfId="89" priority="88"/>
    <cfRule type="duplicateValues" dxfId="88" priority="86"/>
    <cfRule type="duplicateValues" dxfId="87" priority="87"/>
  </conditionalFormatting>
  <conditionalFormatting sqref="K29:L29">
    <cfRule type="duplicateValues" dxfId="86" priority="85"/>
    <cfRule type="duplicateValues" dxfId="85" priority="84"/>
    <cfRule type="duplicateValues" dxfId="84" priority="82"/>
    <cfRule type="duplicateValues" dxfId="83" priority="81"/>
    <cfRule type="duplicateValues" dxfId="82" priority="80"/>
    <cfRule type="duplicateValues" dxfId="81" priority="79"/>
    <cfRule type="duplicateValues" dxfId="80" priority="83"/>
  </conditionalFormatting>
  <conditionalFormatting sqref="K32:L32">
    <cfRule type="duplicateValues" dxfId="79" priority="78"/>
    <cfRule type="duplicateValues" dxfId="78" priority="77"/>
    <cfRule type="duplicateValues" dxfId="77" priority="75"/>
    <cfRule type="duplicateValues" dxfId="76" priority="74"/>
    <cfRule type="duplicateValues" dxfId="75" priority="73"/>
    <cfRule type="duplicateValues" dxfId="74" priority="72"/>
    <cfRule type="duplicateValues" dxfId="73" priority="76"/>
  </conditionalFormatting>
  <conditionalFormatting sqref="K33:L33">
    <cfRule type="duplicateValues" dxfId="72" priority="69"/>
    <cfRule type="duplicateValues" dxfId="71" priority="70"/>
    <cfRule type="duplicateValues" dxfId="70" priority="71"/>
    <cfRule type="duplicateValues" dxfId="69" priority="65"/>
    <cfRule type="duplicateValues" dxfId="68" priority="66"/>
    <cfRule type="duplicateValues" dxfId="67" priority="67"/>
    <cfRule type="duplicateValues" dxfId="66" priority="68"/>
  </conditionalFormatting>
  <conditionalFormatting sqref="K34:L34">
    <cfRule type="duplicateValues" dxfId="65" priority="60"/>
    <cfRule type="duplicateValues" dxfId="64" priority="59"/>
    <cfRule type="duplicateValues" dxfId="63" priority="58"/>
    <cfRule type="duplicateValues" dxfId="62" priority="63"/>
    <cfRule type="duplicateValues" dxfId="61" priority="64"/>
    <cfRule type="duplicateValues" dxfId="60" priority="61"/>
    <cfRule type="duplicateValues" dxfId="59" priority="62"/>
  </conditionalFormatting>
  <conditionalFormatting sqref="K35:L35">
    <cfRule type="duplicateValues" dxfId="58" priority="30"/>
    <cfRule type="duplicateValues" dxfId="57" priority="35"/>
    <cfRule type="duplicateValues" dxfId="56" priority="34"/>
    <cfRule type="duplicateValues" dxfId="55" priority="36"/>
    <cfRule type="duplicateValues" dxfId="54" priority="31"/>
    <cfRule type="duplicateValues" dxfId="53" priority="32"/>
    <cfRule type="duplicateValues" dxfId="52" priority="33"/>
  </conditionalFormatting>
  <conditionalFormatting sqref="K41:L41">
    <cfRule type="duplicateValues" dxfId="51" priority="44"/>
    <cfRule type="duplicateValues" dxfId="50" priority="49"/>
    <cfRule type="duplicateValues" dxfId="49" priority="46"/>
    <cfRule type="duplicateValues" dxfId="48" priority="50"/>
    <cfRule type="duplicateValues" dxfId="47" priority="48"/>
    <cfRule type="duplicateValues" dxfId="46" priority="47"/>
    <cfRule type="duplicateValues" dxfId="45" priority="45"/>
  </conditionalFormatting>
  <conditionalFormatting sqref="K42:L42">
    <cfRule type="duplicateValues" dxfId="44" priority="57"/>
    <cfRule type="duplicateValues" dxfId="43" priority="52"/>
    <cfRule type="duplicateValues" dxfId="42" priority="53"/>
    <cfRule type="duplicateValues" dxfId="41" priority="55"/>
    <cfRule type="duplicateValues" dxfId="40" priority="51"/>
    <cfRule type="duplicateValues" dxfId="39" priority="54"/>
    <cfRule type="duplicateValues" dxfId="38" priority="56"/>
  </conditionalFormatting>
  <conditionalFormatting sqref="K44:L44">
    <cfRule type="duplicateValues" dxfId="37" priority="38"/>
    <cfRule type="duplicateValues" dxfId="36" priority="37"/>
    <cfRule type="duplicateValues" dxfId="35" priority="40"/>
    <cfRule type="duplicateValues" dxfId="34" priority="39"/>
    <cfRule type="duplicateValues" dxfId="33" priority="41"/>
    <cfRule type="duplicateValues" dxfId="32" priority="42"/>
    <cfRule type="duplicateValues" dxfId="31" priority="43"/>
  </conditionalFormatting>
  <conditionalFormatting sqref="K45:L46">
    <cfRule type="duplicateValues" dxfId="30" priority="29"/>
    <cfRule type="duplicateValues" dxfId="29" priority="27"/>
    <cfRule type="duplicateValues" dxfId="28" priority="26"/>
    <cfRule type="duplicateValues" dxfId="27" priority="25"/>
    <cfRule type="duplicateValues" dxfId="26" priority="24"/>
    <cfRule type="duplicateValues" dxfId="25" priority="28"/>
    <cfRule type="duplicateValues" dxfId="24" priority="23"/>
  </conditionalFormatting>
  <conditionalFormatting sqref="K47:L48">
    <cfRule type="duplicateValues" dxfId="23" priority="16"/>
    <cfRule type="duplicateValues" dxfId="22" priority="19"/>
    <cfRule type="duplicateValues" dxfId="21" priority="22"/>
    <cfRule type="duplicateValues" dxfId="20" priority="21"/>
    <cfRule type="duplicateValues" dxfId="19" priority="20"/>
    <cfRule type="duplicateValues" dxfId="18" priority="18"/>
    <cfRule type="duplicateValues" dxfId="17" priority="17"/>
  </conditionalFormatting>
  <conditionalFormatting sqref="K52:L53">
    <cfRule type="duplicateValues" dxfId="16" priority="11"/>
    <cfRule type="duplicateValues" dxfId="15" priority="10"/>
    <cfRule type="duplicateValues" dxfId="14" priority="9"/>
    <cfRule type="duplicateValues" dxfId="13" priority="12"/>
    <cfRule type="duplicateValues" dxfId="12" priority="14"/>
    <cfRule type="duplicateValues" dxfId="11" priority="13"/>
    <cfRule type="duplicateValues" dxfId="10" priority="15"/>
  </conditionalFormatting>
  <conditionalFormatting sqref="K56:L56">
    <cfRule type="duplicateValues" dxfId="9" priority="8"/>
    <cfRule type="duplicateValues" dxfId="8" priority="7"/>
    <cfRule type="duplicateValues" dxfId="7" priority="6"/>
    <cfRule type="duplicateValues" dxfId="6" priority="4"/>
    <cfRule type="duplicateValues" dxfId="5" priority="3"/>
    <cfRule type="duplicateValues" dxfId="4" priority="2"/>
    <cfRule type="duplicateValues" dxfId="3" priority="5"/>
  </conditionalFormatting>
  <hyperlinks>
    <hyperlink ref="D2" r:id="rId1" display="FS@" xr:uid="{9140386A-FDA7-4E64-AA07-825EA9144055}"/>
  </hyperlinks>
  <pageMargins left="0.49993750781152352" right="0.24996875390576176" top="0.24996875390576176" bottom="0.24996875390576176" header="1.1126239318905074E-308" footer="0.24996875390576176"/>
  <pageSetup paperSize="9" orientation="portrait" errors="NA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EA6B-A599-4E50-9353-3AF6CD636569}">
  <dimension ref="B2:R75"/>
  <sheetViews>
    <sheetView workbookViewId="0"/>
  </sheetViews>
  <sheetFormatPr defaultColWidth="9.08984375" defaultRowHeight="14.5" x14ac:dyDescent="0.35"/>
  <cols>
    <col min="1" max="1" width="3" style="12" customWidth="1"/>
    <col min="2" max="2" width="33.453125" style="12" bestFit="1" customWidth="1"/>
    <col min="3" max="3" width="11.6328125" style="12" bestFit="1" customWidth="1"/>
    <col min="4" max="13" width="7.453125" style="12" bestFit="1" customWidth="1"/>
    <col min="14" max="14" width="4.54296875" style="12" bestFit="1" customWidth="1"/>
    <col min="15" max="15" width="11.54296875" style="12" bestFit="1" customWidth="1"/>
    <col min="16" max="16384" width="9.08984375" style="12"/>
  </cols>
  <sheetData>
    <row r="2" spans="2:18" x14ac:dyDescent="0.35">
      <c r="B2" s="20"/>
      <c r="C2" s="20" t="s">
        <v>199</v>
      </c>
      <c r="D2" s="20" t="s">
        <v>208</v>
      </c>
      <c r="E2" s="20" t="s">
        <v>209</v>
      </c>
      <c r="F2" s="20" t="s">
        <v>210</v>
      </c>
      <c r="G2" s="20" t="s">
        <v>211</v>
      </c>
      <c r="H2" s="20" t="s">
        <v>212</v>
      </c>
      <c r="I2" s="20" t="s">
        <v>213</v>
      </c>
      <c r="J2" s="20" t="s">
        <v>214</v>
      </c>
      <c r="K2" s="20" t="s">
        <v>215</v>
      </c>
      <c r="L2" s="20" t="s">
        <v>216</v>
      </c>
      <c r="M2" s="20" t="s">
        <v>217</v>
      </c>
      <c r="N2" s="20" t="s">
        <v>218</v>
      </c>
      <c r="O2" s="20" t="s">
        <v>219</v>
      </c>
    </row>
    <row r="3" spans="2:18" x14ac:dyDescent="0.35">
      <c r="B3" s="8" t="s">
        <v>220</v>
      </c>
    </row>
    <row r="4" spans="2:18" x14ac:dyDescent="0.35">
      <c r="B4" s="12" t="s">
        <v>329</v>
      </c>
      <c r="C4" s="13">
        <f>ABS(SUMIFS(TB_FNB[Apr],TB_FNB[MIS_Group1],$B4)/10^5)</f>
        <v>0</v>
      </c>
      <c r="D4" s="13">
        <f>ABS(SUMIFS(TB_FNB[May],TB_FNB[MIS_Group1],$B4)/10^5)-ABS(SUMIFS(TB_FNB[Apr],TB_FNB[MIS_Group1],$B4)/10^5)</f>
        <v>0</v>
      </c>
      <c r="E4" s="13">
        <f>ABS(SUMIFS(TB_FNB[Jun],TB_FNB[MIS_Group1],$B4)/10^5)-ABS(SUMIFS(TB_FNB[May],TB_FNB[MIS_Group1],$B4)/10^5)</f>
        <v>0</v>
      </c>
      <c r="F4" s="13">
        <f>ABS(SUMIFS(TB_FNB[Jul],TB_FNB[MIS_Group1],$B4)/10^5)-ABS(SUMIFS(TB_FNB[Jun],TB_FNB[MIS_Group1],$B4)/10^5)</f>
        <v>0</v>
      </c>
      <c r="G4" s="13">
        <f>ABS(SUMIFS(TB_FNB[Aug],TB_FNB[MIS_Group1],$B4)/10^5)-ABS(SUMIFS(TB_FNB[Jul],TB_FNB[MIS_Group1],$B4)/10^5)</f>
        <v>0</v>
      </c>
      <c r="H4" s="13">
        <f>ABS(SUMIFS(TB_FNB[Sep],TB_FNB[MIS_Group1],$B4)/10^5)-ABS(SUMIFS(TB_FNB[Aug],TB_FNB[MIS_Group1],$B4)/10^5)</f>
        <v>0</v>
      </c>
      <c r="I4" s="13">
        <f>ABS(SUMIFS(TB_FNB[Oct],TB_FNB[MIS_Group1],$B4)/10^5)-ABS(SUMIFS(TB_FNB[Sep],TB_FNB[MIS_Group1],$B4)/10^5)</f>
        <v>0</v>
      </c>
      <c r="J4" s="13">
        <f>ABS(SUMIFS(TB_FNB[Nov],TB_FNB[MIS_Group1],$B4)/10^5)-ABS(SUMIFS(TB_FNB[Oct],TB_FNB[MIS_Group1],$B4)/10^5)</f>
        <v>0</v>
      </c>
      <c r="K4" s="13">
        <f>ABS(SUMIFS(TB_FNB[Dec],TB_FNB[MIS_Group1],$B4)/10^5)-ABS(SUMIFS(TB_FNB[Nov],TB_FNB[MIS_Group1],$B4)/10^5)</f>
        <v>0</v>
      </c>
      <c r="L4" s="13">
        <f>ABS(SUMIFS(TB_FNB[Jan],TB_FNB[MIS_Group1],$B4)/10^5)-ABS(SUMIFS(TB_FNB[Dec],TB_FNB[MIS_Group1],$B4)/10^5)</f>
        <v>0</v>
      </c>
      <c r="M4" s="13">
        <f>ABS(SUMIFS(TB_FNB[Feb],TB_FNB[MIS_Group1],$B4)/10^5)-ABS(SUMIFS(TB_FNB[Jan],TB_FNB[MIS_Group1],$B4)/10^5)</f>
        <v>0</v>
      </c>
      <c r="N4" s="13"/>
      <c r="O4" s="13">
        <f>SUM(C4:N4)</f>
        <v>0</v>
      </c>
      <c r="R4" s="12" t="s">
        <v>330</v>
      </c>
    </row>
    <row r="5" spans="2:18" x14ac:dyDescent="0.35">
      <c r="B5" s="12" t="s">
        <v>222</v>
      </c>
      <c r="C5" s="13">
        <f>ABS(SUMIFS(TB_FNB[Apr],TB_FNB[MIS_Group1],$B5)/10^5)</f>
        <v>0</v>
      </c>
      <c r="D5" s="13">
        <f>ABS(SUMIFS(TB_FNB[May],TB_FNB[MIS_Group1],$B5)/10^5)-ABS(SUMIFS(TB_FNB[Apr],TB_FNB[MIS_Group1],$B5)/10^5)</f>
        <v>0</v>
      </c>
      <c r="E5" s="13">
        <f>ABS(SUMIFS(TB_FNB[Jun],TB_FNB[MIS_Group1],$B5)/10^5)-ABS(SUMIFS(TB_FNB[May],TB_FNB[MIS_Group1],$B5)/10^5)</f>
        <v>0.11656</v>
      </c>
      <c r="F5" s="13">
        <f>ABS(SUMIFS(TB_FNB[Jul],TB_FNB[MIS_Group1],$B5)/10^5)-ABS(SUMIFS(TB_FNB[Jun],TB_FNB[MIS_Group1],$B5)/10^5)</f>
        <v>-5.978E-2</v>
      </c>
      <c r="G5" s="13">
        <f>ABS(SUMIFS(TB_FNB[Aug],TB_FNB[MIS_Group1],$B5)/10^5)-ABS(SUMIFS(TB_FNB[Jul],TB_FNB[MIS_Group1],$B5)/10^5)</f>
        <v>-5.6779999999999997E-2</v>
      </c>
      <c r="H5" s="13">
        <f>ABS(SUMIFS(TB_FNB[Sep],TB_FNB[MIS_Group1],$B5)/10^5)-ABS(SUMIFS(TB_FNB[Aug],TB_FNB[MIS_Group1],$B5)/10^5)</f>
        <v>0.17785999999999999</v>
      </c>
      <c r="I5" s="13">
        <f>ABS(SUMIFS(TB_FNB[Oct],TB_FNB[MIS_Group1],$B5)/10^5)-ABS(SUMIFS(TB_FNB[Sep],TB_FNB[MIS_Group1],$B5)/10^5)</f>
        <v>-0.17785999999999999</v>
      </c>
      <c r="J5" s="13">
        <f>ABS(SUMIFS(TB_FNB[Nov],TB_FNB[MIS_Group1],$B5)/10^5)-ABS(SUMIFS(TB_FNB[Oct],TB_FNB[MIS_Group1],$B5)/10^5)</f>
        <v>8.7120000000000003E-2</v>
      </c>
      <c r="K5" s="13">
        <f>ABS(SUMIFS(TB_FNB[Dec],TB_FNB[MIS_Group1],$B5)/10^5)-ABS(SUMIFS(TB_FNB[Nov],TB_FNB[MIS_Group1],$B5)/10^5)</f>
        <v>-8.7120000000000003E-2</v>
      </c>
      <c r="L5" s="23">
        <f>ABS(SUMIFS(TB_FNB[Jan],TB_FNB[MIS_Group1],$B5)/10^5)-ABS(SUMIFS(TB_FNB[Dec],TB_FNB[MIS_Group1],$B5)/10^5)</f>
        <v>9.8299999999999998E-2</v>
      </c>
      <c r="M5" s="13">
        <f>ABS(SUMIFS(TB_FNB[Feb],TB_FNB[MIS_Group1],$B5)/10^5)-ABS(SUMIFS(TB_FNB[Jan],TB_FNB[MIS_Group1],$B5)/10^5)</f>
        <v>-9.8299999999999998E-2</v>
      </c>
      <c r="O5" s="13">
        <f>SUM(C5:N5)</f>
        <v>0</v>
      </c>
    </row>
    <row r="6" spans="2:18" x14ac:dyDescent="0.35">
      <c r="B6" s="26" t="s">
        <v>223</v>
      </c>
      <c r="C6" s="21">
        <f>SUM(C4:C5)</f>
        <v>0</v>
      </c>
      <c r="D6" s="21">
        <f t="shared" ref="D6:O6" si="0">SUM(D4:D5)</f>
        <v>0</v>
      </c>
      <c r="E6" s="21">
        <f t="shared" si="0"/>
        <v>0.11656</v>
      </c>
      <c r="F6" s="21">
        <f t="shared" si="0"/>
        <v>-5.978E-2</v>
      </c>
      <c r="G6" s="21">
        <f t="shared" si="0"/>
        <v>-5.6779999999999997E-2</v>
      </c>
      <c r="H6" s="21">
        <f t="shared" si="0"/>
        <v>0.17785999999999999</v>
      </c>
      <c r="I6" s="21">
        <f t="shared" si="0"/>
        <v>-0.17785999999999999</v>
      </c>
      <c r="J6" s="21">
        <f t="shared" si="0"/>
        <v>8.7120000000000003E-2</v>
      </c>
      <c r="K6" s="21">
        <f t="shared" si="0"/>
        <v>-8.7120000000000003E-2</v>
      </c>
      <c r="L6" s="21">
        <f>SUM(L4:L5)</f>
        <v>9.8299999999999998E-2</v>
      </c>
      <c r="M6" s="21">
        <f t="shared" si="0"/>
        <v>-9.8299999999999998E-2</v>
      </c>
      <c r="N6" s="21">
        <f t="shared" si="0"/>
        <v>0</v>
      </c>
      <c r="O6" s="21">
        <f t="shared" si="0"/>
        <v>0</v>
      </c>
    </row>
    <row r="7" spans="2:18" x14ac:dyDescent="0.35">
      <c r="R7" s="12" t="s">
        <v>461</v>
      </c>
    </row>
    <row r="8" spans="2:18" x14ac:dyDescent="0.35">
      <c r="B8" s="12" t="s">
        <v>426</v>
      </c>
      <c r="C8" s="13">
        <f>ABS(SUMIFS(TB_FNB[Apr],TB_FNB[MIS_Group1],$B8)/10^5)</f>
        <v>0</v>
      </c>
      <c r="D8" s="13">
        <f>ABS(SUMIFS(TB_FNB[May],TB_FNB[MIS_Group1],$B8)/10^5)-ABS(SUMIFS(TB_FNB[Apr],TB_FNB[MIS_Group1],$B8)/10^5)</f>
        <v>0</v>
      </c>
      <c r="E8" s="13">
        <f>ABS(SUMIFS(TB_FNB[Jun],TB_FNB[MIS_Group1],$B8)/10^5)-ABS(SUMIFS(TB_FNB[May],TB_FNB[MIS_Group1],$B8)/10^5)</f>
        <v>0</v>
      </c>
      <c r="F8" s="13">
        <f>ABS(SUMIFS(TB_FNB[Jul],TB_FNB[MIS_Group1],$B8)/10^5)-ABS(SUMIFS(TB_FNB[Jun],TB_FNB[MIS_Group1],$B8)/10^5)</f>
        <v>0</v>
      </c>
      <c r="G8" s="13">
        <f>ABS(SUMIFS(TB_FNB[Aug],TB_FNB[MIS_Group1],$B8)/10^5)-ABS(SUMIFS(TB_FNB[Jul],TB_FNB[MIS_Group1],$B8)/10^5)</f>
        <v>0</v>
      </c>
      <c r="H8" s="13">
        <f>ABS(SUMIFS(TB_FNB[Sep],TB_FNB[MIS_Group1],$B8)/10^5)-ABS(SUMIFS(TB_FNB[Aug],TB_FNB[MIS_Group1],$B8)/10^5)</f>
        <v>0</v>
      </c>
      <c r="I8" s="13">
        <f>ABS(SUMIFS(TB_FNB[Oct],TB_FNB[MIS_Group1],$B8)/10^5)-ABS(SUMIFS(TB_FNB[Sep],TB_FNB[MIS_Group1],$B8)/10^5)</f>
        <v>0</v>
      </c>
      <c r="J8" s="13">
        <f>ABS(SUMIFS(TB_FNB[Nov],TB_FNB[MIS_Group1],$B8)/10^5)-ABS(SUMIFS(TB_FNB[Oct],TB_FNB[MIS_Group1],$B8)/10^5)</f>
        <v>0</v>
      </c>
      <c r="K8" s="13">
        <f>ABS(SUMIFS(TB_FNB[Dec],TB_FNB[MIS_Group1],$B8)/10^5)-ABS(SUMIFS(TB_FNB[Nov],TB_FNB[MIS_Group1],$B8)/10^5)</f>
        <v>0</v>
      </c>
      <c r="L8" s="23">
        <f>ABS(SUMIFS(TB_FNB[Jan],TB_FNB[MIS_Group1],$B8)/10^5)-ABS(SUMIFS(TB_FNB[Dec],TB_FNB[MIS_Group1],$B8)/10^5)</f>
        <v>0</v>
      </c>
      <c r="M8" s="13">
        <f>ABS(SUMIFS(TB_FNB[Feb],TB_FNB[MIS_Group1],$B8)/10^5)-ABS(SUMIFS(TB_FNB[Jan],TB_FNB[MIS_Group1],$B8)/10^5)</f>
        <v>0</v>
      </c>
      <c r="O8" s="13">
        <f>SUM(C8:N8)</f>
        <v>0</v>
      </c>
      <c r="R8" s="12" t="s">
        <v>457</v>
      </c>
    </row>
    <row r="9" spans="2:18" x14ac:dyDescent="0.35">
      <c r="B9" s="12" t="s">
        <v>429</v>
      </c>
      <c r="C9" s="13">
        <f>ABS(SUMIFS(TB_FNB[Apr],TB_FNB[MIS_Group1],$B9)/10^5)</f>
        <v>0</v>
      </c>
      <c r="D9" s="13">
        <f>ABS(SUMIFS(TB_FNB[May],TB_FNB[MIS_Group1],$B9)/10^5)-ABS(SUMIFS(TB_FNB[Apr],TB_FNB[MIS_Group1],$B9)/10^5)</f>
        <v>0</v>
      </c>
      <c r="E9" s="13">
        <f>ABS(SUMIFS(TB_FNB[Jun],TB_FNB[MIS_Group1],$B9)/10^5)-ABS(SUMIFS(TB_FNB[May],TB_FNB[MIS_Group1],$B9)/10^5)</f>
        <v>0</v>
      </c>
      <c r="F9" s="13">
        <f>ABS(SUMIFS(TB_FNB[Jul],TB_FNB[MIS_Group1],$B9)/10^5)-ABS(SUMIFS(TB_FNB[Jun],TB_FNB[MIS_Group1],$B9)/10^5)</f>
        <v>0</v>
      </c>
      <c r="G9" s="13">
        <f>ABS(SUMIFS(TB_FNB[Aug],TB_FNB[MIS_Group1],$B9)/10^5)-ABS(SUMIFS(TB_FNB[Jul],TB_FNB[MIS_Group1],$B9)/10^5)</f>
        <v>0</v>
      </c>
      <c r="H9" s="13">
        <f>ABS(SUMIFS(TB_FNB[Sep],TB_FNB[MIS_Group1],$B9)/10^5)-ABS(SUMIFS(TB_FNB[Aug],TB_FNB[MIS_Group1],$B9)/10^5)</f>
        <v>0</v>
      </c>
      <c r="I9" s="13">
        <f>ABS(SUMIFS(TB_FNB[Oct],TB_FNB[MIS_Group1],$B9)/10^5)-ABS(SUMIFS(TB_FNB[Sep],TB_FNB[MIS_Group1],$B9)/10^5)</f>
        <v>0</v>
      </c>
      <c r="J9" s="13">
        <f>ABS(SUMIFS(TB_FNB[Nov],TB_FNB[MIS_Group1],$B9)/10^5)-ABS(SUMIFS(TB_FNB[Oct],TB_FNB[MIS_Group1],$B9)/10^5)</f>
        <v>0</v>
      </c>
      <c r="K9" s="13">
        <f>ABS(SUMIFS(TB_FNB[Dec],TB_FNB[MIS_Group1],$B9)/10^5)-ABS(SUMIFS(TB_FNB[Nov],TB_FNB[MIS_Group1],$B9)/10^5)</f>
        <v>0</v>
      </c>
      <c r="L9" s="23">
        <f>ABS(SUMIFS(TB_FNB[Jan],TB_FNB[MIS_Group1],$B9)/10^5)-ABS(SUMIFS(TB_FNB[Dec],TB_FNB[MIS_Group1],$B9)/10^5)</f>
        <v>0</v>
      </c>
      <c r="M9" s="13">
        <f>ABS(SUMIFS(TB_FNB[Feb],TB_FNB[MIS_Group1],$B9)/10^5)-ABS(SUMIFS(TB_FNB[Jan],TB_FNB[MIS_Group1],$B9)/10^5)</f>
        <v>0</v>
      </c>
      <c r="O9" s="13">
        <f t="shared" ref="O9:O16" si="1">SUM(C9:N9)</f>
        <v>0</v>
      </c>
      <c r="R9" s="12" t="s">
        <v>458</v>
      </c>
    </row>
    <row r="10" spans="2:18" x14ac:dyDescent="0.35">
      <c r="B10" s="12" t="s">
        <v>272</v>
      </c>
      <c r="C10" s="13">
        <f>ABS(SUMIFS(TB_FNB[Apr],TB_FNB[MIS_Group1],$B10)/10^5)</f>
        <v>18.829112536620293</v>
      </c>
      <c r="D10" s="13">
        <f>ABS(SUMIFS(TB_FNB[May],TB_FNB[MIS_Group1],$B10)/10^5)-ABS(SUMIFS(TB_FNB[Apr],TB_FNB[MIS_Group1],$B10)/10^5)</f>
        <v>6.0920000000002972E-2</v>
      </c>
      <c r="E10" s="13">
        <f>ABS(SUMIFS(TB_FNB[Jun],TB_FNB[MIS_Group1],$B10)/10^5)-ABS(SUMIFS(TB_FNB[May],TB_FNB[MIS_Group1],$B10)/10^5)</f>
        <v>0.18051999999999779</v>
      </c>
      <c r="F10" s="13">
        <f>ABS(SUMIFS(TB_FNB[Jul],TB_FNB[MIS_Group1],$B10)/10^5)-ABS(SUMIFS(TB_FNB[Jun],TB_FNB[MIS_Group1],$B10)/10^5)</f>
        <v>0.16379570000000143</v>
      </c>
      <c r="G10" s="13">
        <f>ABS(SUMIFS(TB_FNB[Aug],TB_FNB[MIS_Group1],$B10)/10^5)-ABS(SUMIFS(TB_FNB[Jul],TB_FNB[MIS_Group1],$B10)/10^5)</f>
        <v>-0.29913570000000078</v>
      </c>
      <c r="H10" s="13">
        <f>ABS(SUMIFS(TB_FNB[Sep],TB_FNB[MIS_Group1],$B10)/10^5)-ABS(SUMIFS(TB_FNB[Aug],TB_FNB[MIS_Group1],$B10)/10^5)</f>
        <v>-0.39565999999999946</v>
      </c>
      <c r="I10" s="13">
        <f>ABS(SUMIFS(TB_FNB[Oct],TB_FNB[MIS_Group1],$B10)/10^5)-ABS(SUMIFS(TB_FNB[Sep],TB_FNB[MIS_Group1],$B10)/10^5)</f>
        <v>1.8566798999999996</v>
      </c>
      <c r="J10" s="13">
        <f>ABS(SUMIFS(TB_FNB[Nov],TB_FNB[MIS_Group1],$B10)/10^5)-ABS(SUMIFS(TB_FNB[Oct],TB_FNB[MIS_Group1],$B10)/10^5)</f>
        <v>-1.2944499</v>
      </c>
      <c r="K10" s="13">
        <f>ABS(SUMIFS(TB_FNB[Dec],TB_FNB[MIS_Group1],$B10)/10^5)-ABS(SUMIFS(TB_FNB[Nov],TB_FNB[MIS_Group1],$B10)/10^5)</f>
        <v>-1.2705549999999981</v>
      </c>
      <c r="L10" s="23">
        <f>ABS(SUMIFS(TB_FNB[Jan],TB_FNB[MIS_Group1],$B10)/10^5)-ABS(SUMIFS(TB_FNB[Dec],TB_FNB[MIS_Group1],$B10)/10^5)</f>
        <v>1.3290449999999971</v>
      </c>
      <c r="M10" s="13">
        <f>ABS(SUMIFS(TB_FNB[Feb],TB_FNB[MIS_Group1],$B10)/10^5)-ABS(SUMIFS(TB_FNB[Jan],TB_FNB[MIS_Group1],$B10)/10^5)</f>
        <v>-0.27986499999999737</v>
      </c>
      <c r="O10" s="13">
        <f t="shared" si="1"/>
        <v>18.880407536620297</v>
      </c>
    </row>
    <row r="11" spans="2:18" x14ac:dyDescent="0.35">
      <c r="B11" s="12" t="s">
        <v>278</v>
      </c>
      <c r="C11" s="13">
        <f>ABS(SUMIFS(TB_FNB[Apr],TB_FNB[MIS_Group1],$B11)/10^5)</f>
        <v>6.8091907530000011</v>
      </c>
      <c r="D11" s="13">
        <f>ABS(SUMIFS(TB_FNB[May],TB_FNB[MIS_Group1],$B11)/10^5)-ABS(SUMIFS(TB_FNB[Apr],TB_FNB[MIS_Group1],$B11)/10^5)</f>
        <v>0.2526730251</v>
      </c>
      <c r="E11" s="13">
        <f>ABS(SUMIFS(TB_FNB[Jun],TB_FNB[MIS_Group1],$B11)/10^5)-ABS(SUMIFS(TB_FNB[May],TB_FNB[MIS_Group1],$B11)/10^5)</f>
        <v>-0.2526730251</v>
      </c>
      <c r="F11" s="13">
        <f>ABS(SUMIFS(TB_FNB[Jul],TB_FNB[MIS_Group1],$B11)/10^5)-ABS(SUMIFS(TB_FNB[Jun],TB_FNB[MIS_Group1],$B11)/10^5)</f>
        <v>0.25736302510000009</v>
      </c>
      <c r="G11" s="13">
        <f>ABS(SUMIFS(TB_FNB[Aug],TB_FNB[MIS_Group1],$B11)/10^5)-ABS(SUMIFS(TB_FNB[Jul],TB_FNB[MIS_Group1],$B11)/10^5)</f>
        <v>-1.0290000000000354E-2</v>
      </c>
      <c r="H11" s="13">
        <f>ABS(SUMIFS(TB_FNB[Sep],TB_FNB[MIS_Group1],$B11)/10^5)-ABS(SUMIFS(TB_FNB[Aug],TB_FNB[MIS_Group1],$B11)/10^5)</f>
        <v>-0.24707302509999973</v>
      </c>
      <c r="I11" s="13">
        <f>ABS(SUMIFS(TB_FNB[Oct],TB_FNB[MIS_Group1],$B11)/10^5)-ABS(SUMIFS(TB_FNB[Sep],TB_FNB[MIS_Group1],$B11)/10^5)</f>
        <v>0.26187302509999988</v>
      </c>
      <c r="J11" s="13">
        <f>ABS(SUMIFS(TB_FNB[Nov],TB_FNB[MIS_Group1],$B11)/10^5)-ABS(SUMIFS(TB_FNB[Oct],TB_FNB[MIS_Group1],$B11)/10^5)</f>
        <v>-0.26187302509999988</v>
      </c>
      <c r="K11" s="13">
        <f>ABS(SUMIFS(TB_FNB[Dec],TB_FNB[MIS_Group1],$B11)/10^5)-ABS(SUMIFS(TB_FNB[Nov],TB_FNB[MIS_Group1],$B11)/10^5)</f>
        <v>0.26796922509999987</v>
      </c>
      <c r="L11" s="23">
        <f>ABS(SUMIFS(TB_FNB[Jan],TB_FNB[MIS_Group1],$B11)/10^5)-ABS(SUMIFS(TB_FNB[Dec],TB_FNB[MIS_Group1],$B11)/10^5)</f>
        <v>-1.8726199999999693E-2</v>
      </c>
      <c r="M11" s="13">
        <f>ABS(SUMIFS(TB_FNB[Feb],TB_FNB[MIS_Group1],$B11)/10^5)-ABS(SUMIFS(TB_FNB[Jan],TB_FNB[MIS_Group1],$B11)/10^5)</f>
        <v>-0.70318907530000097</v>
      </c>
      <c r="O11" s="13">
        <f t="shared" si="1"/>
        <v>6.3552447028000003</v>
      </c>
      <c r="R11" s="12" t="s">
        <v>463</v>
      </c>
    </row>
    <row r="12" spans="2:18" x14ac:dyDescent="0.35">
      <c r="B12" s="12" t="s">
        <v>288</v>
      </c>
      <c r="C12" s="13">
        <f>ABS(SUMIFS(TB_FNB[Apr],TB_FNB[MIS_Group1],$B12)/10^5)</f>
        <v>0.97</v>
      </c>
      <c r="D12" s="13">
        <f>ABS(SUMIFS(TB_FNB[May],TB_FNB[MIS_Group1],$B12)/10^5)-ABS(SUMIFS(TB_FNB[Apr],TB_FNB[MIS_Group1],$B12)/10^5)</f>
        <v>0</v>
      </c>
      <c r="E12" s="13">
        <f>ABS(SUMIFS(TB_FNB[Jun],TB_FNB[MIS_Group1],$B12)/10^5)-ABS(SUMIFS(TB_FNB[May],TB_FNB[MIS_Group1],$B12)/10^5)</f>
        <v>0.42530000000000001</v>
      </c>
      <c r="F12" s="13">
        <f>ABS(SUMIFS(TB_FNB[Jul],TB_FNB[MIS_Group1],$B12)/10^5)-ABS(SUMIFS(TB_FNB[Jun],TB_FNB[MIS_Group1],$B12)/10^5)</f>
        <v>-0.2738799999999999</v>
      </c>
      <c r="G12" s="13">
        <f>ABS(SUMIFS(TB_FNB[Aug],TB_FNB[MIS_Group1],$B12)/10^5)-ABS(SUMIFS(TB_FNB[Jul],TB_FNB[MIS_Group1],$B12)/10^5)</f>
        <v>0.11192000000000002</v>
      </c>
      <c r="H12" s="13">
        <f>ABS(SUMIFS(TB_FNB[Sep],TB_FNB[MIS_Group1],$B12)/10^5)-ABS(SUMIFS(TB_FNB[Aug],TB_FNB[MIS_Group1],$B12)/10^5)</f>
        <v>-0.11133999999999999</v>
      </c>
      <c r="I12" s="13">
        <f>ABS(SUMIFS(TB_FNB[Oct],TB_FNB[MIS_Group1],$B12)/10^5)-ABS(SUMIFS(TB_FNB[Sep],TB_FNB[MIS_Group1],$B12)/10^5)</f>
        <v>7.6313299999999806E-2</v>
      </c>
      <c r="J12" s="13">
        <f>ABS(SUMIFS(TB_FNB[Nov],TB_FNB[MIS_Group1],$B12)/10^5)-ABS(SUMIFS(TB_FNB[Oct],TB_FNB[MIS_Group1],$B12)/10^5)</f>
        <v>0.78084670000000012</v>
      </c>
      <c r="K12" s="13">
        <f>ABS(SUMIFS(TB_FNB[Dec],TB_FNB[MIS_Group1],$B12)/10^5)-ABS(SUMIFS(TB_FNB[Nov],TB_FNB[MIS_Group1],$B12)/10^5)</f>
        <v>-1.3091599999999999</v>
      </c>
      <c r="L12" s="23">
        <f>ABS(SUMIFS(TB_FNB[Jan],TB_FNB[MIS_Group1],$B12)/10^5)-ABS(SUMIFS(TB_FNB[Dec],TB_FNB[MIS_Group1],$B12)/10^5)</f>
        <v>1.0097814000000001</v>
      </c>
      <c r="M12" s="13">
        <f>ABS(SUMIFS(TB_FNB[Feb],TB_FNB[MIS_Group1],$B12)/10^5)-ABS(SUMIFS(TB_FNB[Jan],TB_FNB[MIS_Group1],$B12)/10^5)</f>
        <v>-0.24359730000000024</v>
      </c>
      <c r="O12" s="13">
        <f t="shared" si="1"/>
        <v>1.4361841</v>
      </c>
    </row>
    <row r="13" spans="2:18" x14ac:dyDescent="0.35">
      <c r="B13" s="12" t="s">
        <v>289</v>
      </c>
      <c r="C13" s="13">
        <f>ABS(SUMIFS(TB_FNB[Apr],TB_FNB[MIS_Group1],$B13)/10^5)</f>
        <v>7.5370699999999999</v>
      </c>
      <c r="D13" s="13">
        <f>ABS(SUMIFS(TB_FNB[May],TB_FNB[MIS_Group1],$B13)/10^5)-ABS(SUMIFS(TB_FNB[Apr],TB_FNB[MIS_Group1],$B13)/10^5)</f>
        <v>-0.94343999999999983</v>
      </c>
      <c r="E13" s="13">
        <f>ABS(SUMIFS(TB_FNB[Jun],TB_FNB[MIS_Group1],$B13)/10^5)-ABS(SUMIFS(TB_FNB[May],TB_FNB[MIS_Group1],$B13)/10^5)</f>
        <v>0.69826000000000032</v>
      </c>
      <c r="F13" s="13">
        <f>ABS(SUMIFS(TB_FNB[Jul],TB_FNB[MIS_Group1],$B13)/10^5)-ABS(SUMIFS(TB_FNB[Jun],TB_FNB[MIS_Group1],$B13)/10^5)</f>
        <v>0.12600999999999996</v>
      </c>
      <c r="G13" s="13">
        <f>ABS(SUMIFS(TB_FNB[Aug],TB_FNB[MIS_Group1],$B13)/10^5)-ABS(SUMIFS(TB_FNB[Jul],TB_FNB[MIS_Group1],$B13)/10^5)</f>
        <v>3.5654750000000002</v>
      </c>
      <c r="H13" s="13">
        <f>ABS(SUMIFS(TB_FNB[Sep],TB_FNB[MIS_Group1],$B13)/10^5)-ABS(SUMIFS(TB_FNB[Aug],TB_FNB[MIS_Group1],$B13)/10^5)</f>
        <v>-3.8276150000000007</v>
      </c>
      <c r="I13" s="13">
        <f>ABS(SUMIFS(TB_FNB[Oct],TB_FNB[MIS_Group1],$B13)/10^5)-ABS(SUMIFS(TB_FNB[Sep],TB_FNB[MIS_Group1],$B13)/10^5)</f>
        <v>0.82662999999999975</v>
      </c>
      <c r="J13" s="13">
        <f>ABS(SUMIFS(TB_FNB[Nov],TB_FNB[MIS_Group1],$B13)/10^5)-ABS(SUMIFS(TB_FNB[Oct],TB_FNB[MIS_Group1],$B13)/10^5)</f>
        <v>-0.62853999999999921</v>
      </c>
      <c r="K13" s="13">
        <f>ABS(SUMIFS(TB_FNB[Dec],TB_FNB[MIS_Group1],$B13)/10^5)-ABS(SUMIFS(TB_FNB[Nov],TB_FNB[MIS_Group1],$B13)/10^5)</f>
        <v>0.74313999999999947</v>
      </c>
      <c r="L13" s="23">
        <f>ABS(SUMIFS(TB_FNB[Jan],TB_FNB[MIS_Group1],$B13)/10^5)-ABS(SUMIFS(TB_FNB[Dec],TB_FNB[MIS_Group1],$B13)/10^5)</f>
        <v>1.0312999999999999</v>
      </c>
      <c r="M13" s="13">
        <f>ABS(SUMIFS(TB_FNB[Feb],TB_FNB[MIS_Group1],$B13)/10^5)-ABS(SUMIFS(TB_FNB[Jan],TB_FNB[MIS_Group1],$B13)/10^5)</f>
        <v>-1.3811149999999994</v>
      </c>
      <c r="O13" s="13">
        <f t="shared" si="1"/>
        <v>7.7471750000000004</v>
      </c>
    </row>
    <row r="14" spans="2:18" x14ac:dyDescent="0.35">
      <c r="B14" s="12" t="s">
        <v>301</v>
      </c>
      <c r="C14" s="13">
        <f>ABS(SUMIFS(TB_FNB[Apr],TB_FNB[MIS_Group1],$B14)/10^5)</f>
        <v>3.7109999999999997E-4</v>
      </c>
      <c r="D14" s="13">
        <f>ABS(SUMIFS(TB_FNB[May],TB_FNB[MIS_Group1],$B14)/10^5)-ABS(SUMIFS(TB_FNB[Apr],TB_FNB[MIS_Group1],$B14)/10^5)</f>
        <v>1.0890000000000004E-4</v>
      </c>
      <c r="E14" s="13">
        <f>ABS(SUMIFS(TB_FNB[Jun],TB_FNB[MIS_Group1],$B14)/10^5)-ABS(SUMIFS(TB_FNB[May],TB_FNB[MIS_Group1],$B14)/10^5)</f>
        <v>3.4424899999999994E-2</v>
      </c>
      <c r="F14" s="13">
        <f>ABS(SUMIFS(TB_FNB[Jul],TB_FNB[MIS_Group1],$B14)/10^5)-ABS(SUMIFS(TB_FNB[Jun],TB_FNB[MIS_Group1],$B14)/10^5)</f>
        <v>-3.2904999999999997E-2</v>
      </c>
      <c r="G14" s="13">
        <f>ABS(SUMIFS(TB_FNB[Aug],TB_FNB[MIS_Group1],$B14)/10^5)-ABS(SUMIFS(TB_FNB[Jul],TB_FNB[MIS_Group1],$B14)/10^5)</f>
        <v>-1.0975000000000004E-3</v>
      </c>
      <c r="H14" s="13">
        <f>ABS(SUMIFS(TB_FNB[Sep],TB_FNB[MIS_Group1],$B14)/10^5)-ABS(SUMIFS(TB_FNB[Aug],TB_FNB[MIS_Group1],$B14)/10^5)</f>
        <v>-7.8349999999999991E-4</v>
      </c>
      <c r="I14" s="13">
        <f>ABS(SUMIFS(TB_FNB[Oct],TB_FNB[MIS_Group1],$B14)/10^5)-ABS(SUMIFS(TB_FNB[Sep],TB_FNB[MIS_Group1],$B14)/10^5)</f>
        <v>4.0011000000000005E-3</v>
      </c>
      <c r="J14" s="13">
        <f>ABS(SUMIFS(TB_FNB[Nov],TB_FNB[MIS_Group1],$B14)/10^5)-ABS(SUMIFS(TB_FNB[Oct],TB_FNB[MIS_Group1],$B14)/10^5)</f>
        <v>2.9227600000000006E-2</v>
      </c>
      <c r="K14" s="13">
        <f>ABS(SUMIFS(TB_FNB[Dec],TB_FNB[MIS_Group1],$B14)/10^5)-ABS(SUMIFS(TB_FNB[Nov],TB_FNB[MIS_Group1],$B14)/10^5)</f>
        <v>-3.3347600000000005E-2</v>
      </c>
      <c r="L14" s="23">
        <f>ABS(SUMIFS(TB_FNB[Jan],TB_FNB[MIS_Group1],$B14)/10^5)-ABS(SUMIFS(TB_FNB[Dec],TB_FNB[MIS_Group1],$B14)/10^5)</f>
        <v>3.3300000000000003E-5</v>
      </c>
      <c r="M14" s="13">
        <f>ABS(SUMIFS(TB_FNB[Feb],TB_FNB[MIS_Group1],$B14)/10^5)-ABS(SUMIFS(TB_FNB[Jan],TB_FNB[MIS_Group1],$B14)/10^5)</f>
        <v>2.5700000000000001E-5</v>
      </c>
      <c r="O14" s="13">
        <f t="shared" si="1"/>
        <v>5.9000000000000004E-5</v>
      </c>
    </row>
    <row r="15" spans="2:18" x14ac:dyDescent="0.35">
      <c r="B15" s="12" t="s">
        <v>302</v>
      </c>
      <c r="C15" s="13">
        <f>ABS(SUMIFS(TB_FNB[Apr],TB_FNB[MIS_Group1],$B15)/10^5)</f>
        <v>0</v>
      </c>
      <c r="D15" s="13">
        <f>ABS(SUMIFS(TB_FNB[May],TB_FNB[MIS_Group1],$B15)/10^5)-ABS(SUMIFS(TB_FNB[Apr],TB_FNB[MIS_Group1],$B15)/10^5)</f>
        <v>0</v>
      </c>
      <c r="E15" s="13">
        <f>ABS(SUMIFS(TB_FNB[Jun],TB_FNB[MIS_Group1],$B15)/10^5)-ABS(SUMIFS(TB_FNB[May],TB_FNB[MIS_Group1],$B15)/10^5)</f>
        <v>0</v>
      </c>
      <c r="F15" s="13">
        <f>ABS(SUMIFS(TB_FNB[Jul],TB_FNB[MIS_Group1],$B15)/10^5)-ABS(SUMIFS(TB_FNB[Jun],TB_FNB[MIS_Group1],$B15)/10^5)</f>
        <v>0.39483000000000001</v>
      </c>
      <c r="G15" s="13">
        <f>ABS(SUMIFS(TB_FNB[Aug],TB_FNB[MIS_Group1],$B15)/10^5)-ABS(SUMIFS(TB_FNB[Jul],TB_FNB[MIS_Group1],$B15)/10^5)</f>
        <v>0.73701419999999995</v>
      </c>
      <c r="H15" s="13">
        <f>ABS(SUMIFS(TB_FNB[Sep],TB_FNB[MIS_Group1],$B15)/10^5)-ABS(SUMIFS(TB_FNB[Aug],TB_FNB[MIS_Group1],$B15)/10^5)</f>
        <v>-1.1055302</v>
      </c>
      <c r="I15" s="13">
        <f>ABS(SUMIFS(TB_FNB[Oct],TB_FNB[MIS_Group1],$B15)/10^5)-ABS(SUMIFS(TB_FNB[Sep],TB_FNB[MIS_Group1],$B15)/10^5)</f>
        <v>-2.2193999999999998E-2</v>
      </c>
      <c r="J15" s="13">
        <f>ABS(SUMIFS(TB_FNB[Nov],TB_FNB[MIS_Group1],$B15)/10^5)-ABS(SUMIFS(TB_FNB[Oct],TB_FNB[MIS_Group1],$B15)/10^5)</f>
        <v>0</v>
      </c>
      <c r="K15" s="13">
        <f>ABS(SUMIFS(TB_FNB[Dec],TB_FNB[MIS_Group1],$B15)/10^5)-ABS(SUMIFS(TB_FNB[Nov],TB_FNB[MIS_Group1],$B15)/10^5)</f>
        <v>-8.000000000000021E-5</v>
      </c>
      <c r="L15" s="23">
        <f>ABS(SUMIFS(TB_FNB[Jan],TB_FNB[MIS_Group1],$B15)/10^5)-ABS(SUMIFS(TB_FNB[Dec],TB_FNB[MIS_Group1],$B15)/10^5)</f>
        <v>0.24447000000000002</v>
      </c>
      <c r="M15" s="13">
        <f>ABS(SUMIFS(TB_FNB[Feb],TB_FNB[MIS_Group1],$B15)/10^5)-ABS(SUMIFS(TB_FNB[Jan],TB_FNB[MIS_Group1],$B15)/10^5)</f>
        <v>-0.24851000000000001</v>
      </c>
      <c r="O15" s="13">
        <f t="shared" si="1"/>
        <v>0</v>
      </c>
    </row>
    <row r="16" spans="2:18" x14ac:dyDescent="0.35">
      <c r="B16" s="12" t="s">
        <v>325</v>
      </c>
      <c r="C16" s="13">
        <f>ABS(SUMIFS(TB_FNB[Apr],TB_FNB[MIS_Group1],$B16)/10^5)</f>
        <v>10.824719999999999</v>
      </c>
      <c r="D16" s="13">
        <f>ABS(SUMIFS(TB_FNB[May],TB_FNB[MIS_Group1],$B16)/10^5)-ABS(SUMIFS(TB_FNB[Apr],TB_FNB[MIS_Group1],$B16)/10^5)</f>
        <v>-0.17965599999999959</v>
      </c>
      <c r="E16" s="13">
        <f>ABS(SUMIFS(TB_FNB[Jun],TB_FNB[MIS_Group1],$B16)/10^5)-ABS(SUMIFS(TB_FNB[May],TB_FNB[MIS_Group1],$B16)/10^5)</f>
        <v>0.12227600000000116</v>
      </c>
      <c r="F16" s="13">
        <f>ABS(SUMIFS(TB_FNB[Jul],TB_FNB[MIS_Group1],$B16)/10^5)-ABS(SUMIFS(TB_FNB[Jun],TB_FNB[MIS_Group1],$B16)/10^5)</f>
        <v>0.54921110000000084</v>
      </c>
      <c r="G16" s="13">
        <f>ABS(SUMIFS(TB_FNB[Aug],TB_FNB[MIS_Group1],$B16)/10^5)-ABS(SUMIFS(TB_FNB[Jul],TB_FNB[MIS_Group1],$B16)/10^5)</f>
        <v>1.328888899999999</v>
      </c>
      <c r="H16" s="13">
        <f>ABS(SUMIFS(TB_FNB[Sep],TB_FNB[MIS_Group1],$B16)/10^5)-ABS(SUMIFS(TB_FNB[Aug],TB_FNB[MIS_Group1],$B16)/10^5)</f>
        <v>1.355929999999999</v>
      </c>
      <c r="I16" s="13">
        <f>ABS(SUMIFS(TB_FNB[Oct],TB_FNB[MIS_Group1],$B16)/10^5)-ABS(SUMIFS(TB_FNB[Sep],TB_FNB[MIS_Group1],$B16)/10^5)</f>
        <v>-2.3264999999999993</v>
      </c>
      <c r="J16" s="13">
        <f>ABS(SUMIFS(TB_FNB[Nov],TB_FNB[MIS_Group1],$B16)/10^5)-ABS(SUMIFS(TB_FNB[Oct],TB_FNB[MIS_Group1],$B16)/10^5)</f>
        <v>-0.17989999999999995</v>
      </c>
      <c r="K16" s="13">
        <f>ABS(SUMIFS(TB_FNB[Dec],TB_FNB[MIS_Group1],$B16)/10^5)-ABS(SUMIFS(TB_FNB[Nov],TB_FNB[MIS_Group1],$B16)/10^5)</f>
        <v>0.83206999999999987</v>
      </c>
      <c r="L16" s="23">
        <f>ABS(SUMIFS(TB_FNB[Jan],TB_FNB[MIS_Group1],$B16)/10^5)-ABS(SUMIFS(TB_FNB[Dec],TB_FNB[MIS_Group1],$B16)/10^5)</f>
        <v>0.47775019999999913</v>
      </c>
      <c r="M16" s="13">
        <f>ABS(SUMIFS(TB_FNB[Feb],TB_FNB[MIS_Group1],$B16)/10^5)-ABS(SUMIFS(TB_FNB[Jan],TB_FNB[MIS_Group1],$B16)/10^5)</f>
        <v>-0.22651769999999871</v>
      </c>
      <c r="O16" s="13">
        <f t="shared" si="1"/>
        <v>12.578272500000001</v>
      </c>
    </row>
    <row r="17" spans="2:16" x14ac:dyDescent="0.35">
      <c r="B17" s="22" t="s">
        <v>459</v>
      </c>
      <c r="C17" s="21">
        <f t="shared" ref="C17:O17" si="2">SUM(C8:C16)</f>
        <v>44.970464389620297</v>
      </c>
      <c r="D17" s="21">
        <f t="shared" si="2"/>
        <v>-0.80939407489999649</v>
      </c>
      <c r="E17" s="21">
        <f t="shared" si="2"/>
        <v>1.2081078748999994</v>
      </c>
      <c r="F17" s="21">
        <f t="shared" si="2"/>
        <v>1.1844248251000025</v>
      </c>
      <c r="G17" s="21">
        <f t="shared" si="2"/>
        <v>5.4327748999999983</v>
      </c>
      <c r="H17" s="21">
        <f t="shared" si="2"/>
        <v>-4.3320717251000005</v>
      </c>
      <c r="I17" s="21">
        <f t="shared" si="2"/>
        <v>0.67680332509999985</v>
      </c>
      <c r="J17" s="21">
        <f t="shared" si="2"/>
        <v>-1.5546886250999989</v>
      </c>
      <c r="K17" s="21">
        <f t="shared" si="2"/>
        <v>-0.76996337489999878</v>
      </c>
      <c r="L17" s="21">
        <f t="shared" si="2"/>
        <v>4.0736536999999968</v>
      </c>
      <c r="M17" s="21">
        <f t="shared" si="2"/>
        <v>-3.0827683752999966</v>
      </c>
      <c r="N17" s="21">
        <f t="shared" si="2"/>
        <v>0</v>
      </c>
      <c r="O17" s="21">
        <f t="shared" si="2"/>
        <v>46.997342839420298</v>
      </c>
    </row>
    <row r="18" spans="2:16" x14ac:dyDescent="0.35">
      <c r="B18" s="8" t="s">
        <v>331</v>
      </c>
      <c r="C18" s="25">
        <f>C6-C17</f>
        <v>-44.970464389620297</v>
      </c>
      <c r="D18" s="25">
        <f t="shared" ref="D18:O18" si="3">D6-D17</f>
        <v>0.80939407489999649</v>
      </c>
      <c r="E18" s="25">
        <f t="shared" si="3"/>
        <v>-1.0915478748999994</v>
      </c>
      <c r="F18" s="25">
        <f t="shared" si="3"/>
        <v>-1.2442048251000024</v>
      </c>
      <c r="G18" s="25">
        <f t="shared" si="3"/>
        <v>-5.4895548999999981</v>
      </c>
      <c r="H18" s="25">
        <f t="shared" si="3"/>
        <v>4.5099317251000004</v>
      </c>
      <c r="I18" s="25">
        <f t="shared" si="3"/>
        <v>-0.85466332509999987</v>
      </c>
      <c r="J18" s="25">
        <f t="shared" si="3"/>
        <v>1.641808625099999</v>
      </c>
      <c r="K18" s="25">
        <f t="shared" si="3"/>
        <v>0.6828433748999988</v>
      </c>
      <c r="L18" s="25">
        <f>L6-L17</f>
        <v>-3.9753536999999968</v>
      </c>
      <c r="M18" s="25">
        <f t="shared" si="3"/>
        <v>2.9844683752999965</v>
      </c>
      <c r="N18" s="25">
        <f t="shared" si="3"/>
        <v>0</v>
      </c>
      <c r="O18" s="25">
        <f t="shared" si="3"/>
        <v>-46.997342839420298</v>
      </c>
    </row>
    <row r="19" spans="2:16" x14ac:dyDescent="0.35">
      <c r="B19" s="12" t="s">
        <v>332</v>
      </c>
    </row>
    <row r="20" spans="2:16" x14ac:dyDescent="0.35">
      <c r="B20" s="8" t="s">
        <v>460</v>
      </c>
      <c r="C20" s="25">
        <f>C18-C19</f>
        <v>-44.970464389620297</v>
      </c>
      <c r="D20" s="25">
        <f t="shared" ref="D20:O20" si="4">D18-D19</f>
        <v>0.80939407489999649</v>
      </c>
      <c r="E20" s="25">
        <f t="shared" si="4"/>
        <v>-1.0915478748999994</v>
      </c>
      <c r="F20" s="25">
        <f t="shared" si="4"/>
        <v>-1.2442048251000024</v>
      </c>
      <c r="G20" s="25">
        <f t="shared" si="4"/>
        <v>-5.4895548999999981</v>
      </c>
      <c r="H20" s="25">
        <f t="shared" si="4"/>
        <v>4.5099317251000004</v>
      </c>
      <c r="I20" s="25">
        <f t="shared" si="4"/>
        <v>-0.85466332509999987</v>
      </c>
      <c r="J20" s="25">
        <f t="shared" si="4"/>
        <v>1.641808625099999</v>
      </c>
      <c r="K20" s="25">
        <f t="shared" si="4"/>
        <v>0.6828433748999988</v>
      </c>
      <c r="L20" s="25">
        <f>L18-L19</f>
        <v>-3.9753536999999968</v>
      </c>
      <c r="M20" s="25">
        <f t="shared" si="4"/>
        <v>2.9844683752999965</v>
      </c>
      <c r="N20" s="25">
        <f t="shared" si="4"/>
        <v>0</v>
      </c>
      <c r="O20" s="25">
        <f t="shared" si="4"/>
        <v>-46.997342839420298</v>
      </c>
    </row>
    <row r="21" spans="2:16" x14ac:dyDescent="0.35">
      <c r="B21" s="12" t="s">
        <v>204</v>
      </c>
      <c r="C21" s="13">
        <f>ABS(SUMIFS(TB_FNB[Apr],TB_FNB[MIS_Group1],$B21)/10^5)</f>
        <v>1.12795E-2</v>
      </c>
      <c r="D21" s="13">
        <f>ABS(SUMIFS(TB_FNB[May],TB_FNB[MIS_Group1],$B21)/10^5)-ABS(SUMIFS(TB_FNB[Apr],TB_FNB[MIS_Group1],$B21)/10^5)</f>
        <v>1.3074999999999979E-3</v>
      </c>
      <c r="E21" s="13">
        <f>ABS(SUMIFS(TB_FNB[Jun],TB_FNB[MIS_Group1],$B21)/10^5)-ABS(SUMIFS(TB_FNB[May],TB_FNB[MIS_Group1],$B21)/10^5)</f>
        <v>-5.2945999999999974E-3</v>
      </c>
      <c r="F21" s="13">
        <f>ABS(SUMIFS(TB_FNB[Jul],TB_FNB[MIS_Group1],$B21)/10^5)-ABS(SUMIFS(TB_FNB[Jun],TB_FNB[MIS_Group1],$B21)/10^5)</f>
        <v>-7.2924000000000001E-3</v>
      </c>
      <c r="G21" s="13">
        <f>ABS(SUMIFS(TB_FNB[Aug],TB_FNB[MIS_Group1],$B21)/10^5)-ABS(SUMIFS(TB_FNB[Jul],TB_FNB[MIS_Group1],$B21)/10^5)</f>
        <v>4.1280000000000001E-4</v>
      </c>
      <c r="H21" s="13">
        <f>ABS(SUMIFS(TB_FNB[Sep],TB_FNB[MIS_Group1],$B21)/10^5)-ABS(SUMIFS(TB_FNB[Aug],TB_FNB[MIS_Group1],$B21)/10^5)</f>
        <v>-4.1280000000000001E-4</v>
      </c>
      <c r="I21" s="13">
        <f>ABS(SUMIFS(TB_FNB[Oct],TB_FNB[MIS_Group1],$B21)/10^5)-ABS(SUMIFS(TB_FNB[Sep],TB_FNB[MIS_Group1],$B21)/10^5)</f>
        <v>4.4530000000000004E-4</v>
      </c>
      <c r="J21" s="13">
        <f>ABS(SUMIFS(TB_FNB[Nov],TB_FNB[MIS_Group1],$B21)/10^5)-ABS(SUMIFS(TB_FNB[Oct],TB_FNB[MIS_Group1],$B21)/10^5)</f>
        <v>2.70245E-2</v>
      </c>
      <c r="K21" s="13">
        <f>ABS(SUMIFS(TB_FNB[Dec],TB_FNB[MIS_Group1],$B21)/10^5)-ABS(SUMIFS(TB_FNB[Nov],TB_FNB[MIS_Group1],$B21)/10^5)</f>
        <v>-2.7469799999999999E-2</v>
      </c>
      <c r="L21" s="23">
        <f>ABS(SUMIFS(TB_FNB[Jan],TB_FNB[MIS_Group1],$B21)/10^5)-ABS(SUMIFS(TB_FNB[Dec],TB_FNB[MIS_Group1],$B21)/10^5)</f>
        <v>3.9127999999999996E-2</v>
      </c>
      <c r="M21" s="13">
        <f>ABS(SUMIFS(TB_FNB[Feb],TB_FNB[MIS_Group1],$B21)/10^5)-ABS(SUMIFS(TB_FNB[Jan],TB_FNB[MIS_Group1],$B21)/10^5)</f>
        <v>5.6212000000000067E-3</v>
      </c>
      <c r="O21" s="13">
        <f>SUM(C21:N21)</f>
        <v>4.4749200000000003E-2</v>
      </c>
    </row>
    <row r="22" spans="2:16" x14ac:dyDescent="0.35">
      <c r="B22" s="27" t="s">
        <v>333</v>
      </c>
      <c r="C22" s="25">
        <f>C20-C21</f>
        <v>-44.981743889620297</v>
      </c>
      <c r="D22" s="25">
        <f t="shared" ref="D22:O22" si="5">D20-D21</f>
        <v>0.80808657489999647</v>
      </c>
      <c r="E22" s="25">
        <f t="shared" si="5"/>
        <v>-1.0862532748999993</v>
      </c>
      <c r="F22" s="25">
        <f t="shared" si="5"/>
        <v>-1.2369124251000023</v>
      </c>
      <c r="G22" s="25">
        <f t="shared" si="5"/>
        <v>-5.4899676999999985</v>
      </c>
      <c r="H22" s="25">
        <f t="shared" si="5"/>
        <v>4.5103445251000007</v>
      </c>
      <c r="I22" s="25">
        <f t="shared" si="5"/>
        <v>-0.85510862509999985</v>
      </c>
      <c r="J22" s="25">
        <f t="shared" si="5"/>
        <v>1.614784125099999</v>
      </c>
      <c r="K22" s="25">
        <f t="shared" si="5"/>
        <v>0.71031317489999879</v>
      </c>
      <c r="L22" s="25">
        <f>L20-L21</f>
        <v>-4.0144816999999966</v>
      </c>
      <c r="M22" s="25">
        <f t="shared" si="5"/>
        <v>2.9788471752999963</v>
      </c>
      <c r="N22" s="25">
        <f t="shared" si="5"/>
        <v>0</v>
      </c>
      <c r="O22" s="25">
        <f t="shared" si="5"/>
        <v>-47.042092039420297</v>
      </c>
    </row>
    <row r="23" spans="2:16" x14ac:dyDescent="0.35">
      <c r="B23" s="12" t="s">
        <v>334</v>
      </c>
      <c r="C23" s="23"/>
    </row>
    <row r="24" spans="2:16" x14ac:dyDescent="0.35">
      <c r="B24" s="27" t="s">
        <v>335</v>
      </c>
      <c r="C24" s="25">
        <f>C22-C23</f>
        <v>-44.981743889620297</v>
      </c>
      <c r="D24" s="25">
        <f t="shared" ref="D24:O24" si="6">D22-D23</f>
        <v>0.80808657489999647</v>
      </c>
      <c r="E24" s="25">
        <f t="shared" si="6"/>
        <v>-1.0862532748999993</v>
      </c>
      <c r="F24" s="25">
        <f t="shared" si="6"/>
        <v>-1.2369124251000023</v>
      </c>
      <c r="G24" s="25">
        <f t="shared" si="6"/>
        <v>-5.4899676999999985</v>
      </c>
      <c r="H24" s="25">
        <f t="shared" si="6"/>
        <v>4.5103445251000007</v>
      </c>
      <c r="I24" s="25">
        <f t="shared" si="6"/>
        <v>-0.85510862509999985</v>
      </c>
      <c r="J24" s="25">
        <f t="shared" si="6"/>
        <v>1.614784125099999</v>
      </c>
      <c r="K24" s="25">
        <f t="shared" si="6"/>
        <v>0.71031317489999879</v>
      </c>
      <c r="L24" s="25">
        <f t="shared" si="6"/>
        <v>-4.0144816999999966</v>
      </c>
      <c r="M24" s="25">
        <f t="shared" si="6"/>
        <v>2.9788471752999963</v>
      </c>
      <c r="N24" s="25">
        <f t="shared" si="6"/>
        <v>0</v>
      </c>
      <c r="O24" s="25">
        <f t="shared" si="6"/>
        <v>-47.042092039420297</v>
      </c>
    </row>
    <row r="25" spans="2:16" x14ac:dyDescent="0.35">
      <c r="B25"/>
      <c r="C25" s="13"/>
    </row>
    <row r="26" spans="2:16" x14ac:dyDescent="0.35">
      <c r="B26"/>
    </row>
    <row r="27" spans="2:16" x14ac:dyDescent="0.35">
      <c r="B27" t="s">
        <v>462</v>
      </c>
      <c r="O27" s="13">
        <f>ABS(SUMIFS(TB_FNB[Feb],TB_FNB[FS],"PL"))/10^5</f>
        <v>19.924059800000006</v>
      </c>
    </row>
    <row r="28" spans="2:16" x14ac:dyDescent="0.35">
      <c r="O28" s="13">
        <f>O27-O24</f>
        <v>66.966151839420306</v>
      </c>
      <c r="P28" s="12" t="s">
        <v>464</v>
      </c>
    </row>
    <row r="29" spans="2:16" x14ac:dyDescent="0.35">
      <c r="O29" s="13">
        <f>O28*10^5</f>
        <v>6696615.1839420302</v>
      </c>
    </row>
    <row r="30" spans="2:16" x14ac:dyDescent="0.35">
      <c r="B30"/>
    </row>
    <row r="31" spans="2:16" x14ac:dyDescent="0.35">
      <c r="B31"/>
    </row>
    <row r="32" spans="2:16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</sheetData>
  <conditionalFormatting sqref="A1:A25">
    <cfRule type="duplicateValues" dxfId="2" priority="410" stopIfTrue="1"/>
  </conditionalFormatting>
  <conditionalFormatting sqref="B1:B27">
    <cfRule type="duplicateValues" dxfId="1" priority="412"/>
  </conditionalFormatting>
  <conditionalFormatting sqref="B76:B1048576 B1:B31">
    <cfRule type="duplicateValues" dxfId="0" priority="1"/>
  </conditionalFormatting>
  <pageMargins left="0.7" right="0.7" top="0.75" bottom="0.75" header="0.3" footer="0.3"/>
  <ignoredErrors>
    <ignoredError sqref="N21:O2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6089C41-DE97-474A-B867-F60F7CC0105A}">
  <ds:schemaRefs/>
</ds:datastoreItem>
</file>

<file path=customXml/itemProps2.xml><?xml version="1.0" encoding="utf-8"?>
<ds:datastoreItem xmlns:ds="http://schemas.openxmlformats.org/officeDocument/2006/customXml" ds:itemID="{AA756169-137C-460B-8E50-6CE3E2DE55BE}">
  <ds:schemaRefs/>
</ds:datastoreItem>
</file>

<file path=customXml/itemProps3.xml><?xml version="1.0" encoding="utf-8"?>
<ds:datastoreItem xmlns:ds="http://schemas.openxmlformats.org/officeDocument/2006/customXml" ds:itemID="{C2720766-3DE0-4822-8F34-01FBE9331116}">
  <ds:schemaRefs/>
</ds:datastoreItem>
</file>

<file path=customXml/itemProps4.xml><?xml version="1.0" encoding="utf-8"?>
<ds:datastoreItem xmlns:ds="http://schemas.openxmlformats.org/officeDocument/2006/customXml" ds:itemID="{C72C1F8B-F371-4555-A2C0-6D3ECB14F621}">
  <ds:schemaRefs/>
</ds:datastoreItem>
</file>

<file path=customXml/itemProps5.xml><?xml version="1.0" encoding="utf-8"?>
<ds:datastoreItem xmlns:ds="http://schemas.openxmlformats.org/officeDocument/2006/customXml" ds:itemID="{6C19C2F1-9512-4C47-AC02-D72C87763A97}">
  <ds:schemaRefs/>
</ds:datastoreItem>
</file>

<file path=customXml/itemProps6.xml><?xml version="1.0" encoding="utf-8"?>
<ds:datastoreItem xmlns:ds="http://schemas.openxmlformats.org/officeDocument/2006/customXml" ds:itemID="{902AF003-6413-4890-8C7F-8C500DD51554}">
  <ds:schemaRefs/>
</ds:datastoreItem>
</file>

<file path=customXml/itemProps7.xml><?xml version="1.0" encoding="utf-8"?>
<ds:datastoreItem xmlns:ds="http://schemas.openxmlformats.org/officeDocument/2006/customXml" ds:itemID="{128D0B60-9AE3-4EFF-938C-75D951AA6FA0}">
  <ds:schemaRefs/>
</ds:datastoreItem>
</file>

<file path=customXml/itemProps8.xml><?xml version="1.0" encoding="utf-8"?>
<ds:datastoreItem xmlns:ds="http://schemas.openxmlformats.org/officeDocument/2006/customXml" ds:itemID="{B0255749-CA85-4B7E-A70F-DEF36EF5C692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A5D6234B-2271-4876-9340-7BF4CE884EA3}">
  <ds:schemaRefs/>
</ds:datastoreItem>
</file>

<file path=customXml/itemProps10.xml><?xml version="1.0" encoding="utf-8"?>
<ds:datastoreItem xmlns:ds="http://schemas.openxmlformats.org/officeDocument/2006/customXml" ds:itemID="{C162D50B-F9D3-49D7-839C-E6BF0D808C68}">
  <ds:schemaRefs/>
</ds:datastoreItem>
</file>

<file path=customXml/itemProps11.xml><?xml version="1.0" encoding="utf-8"?>
<ds:datastoreItem xmlns:ds="http://schemas.openxmlformats.org/officeDocument/2006/customXml" ds:itemID="{569266CF-6FE1-4B3C-A7A4-ECD4F76D83C6}">
  <ds:schemaRefs/>
</ds:datastoreItem>
</file>

<file path=customXml/itemProps12.xml><?xml version="1.0" encoding="utf-8"?>
<ds:datastoreItem xmlns:ds="http://schemas.openxmlformats.org/officeDocument/2006/customXml" ds:itemID="{F5B02D91-526E-4C41-BC47-518EF6C19EDF}">
  <ds:schemaRefs/>
</ds:datastoreItem>
</file>

<file path=customXml/itemProps13.xml><?xml version="1.0" encoding="utf-8"?>
<ds:datastoreItem xmlns:ds="http://schemas.openxmlformats.org/officeDocument/2006/customXml" ds:itemID="{540E730A-B9BE-49D8-9821-005B4EDEC7AE}">
  <ds:schemaRefs/>
</ds:datastoreItem>
</file>

<file path=customXml/itemProps14.xml><?xml version="1.0" encoding="utf-8"?>
<ds:datastoreItem xmlns:ds="http://schemas.openxmlformats.org/officeDocument/2006/customXml" ds:itemID="{35F085F6-E1A6-46E4-A872-A0F2960C5A6A}">
  <ds:schemaRefs/>
</ds:datastoreItem>
</file>

<file path=customXml/itemProps15.xml><?xml version="1.0" encoding="utf-8"?>
<ds:datastoreItem xmlns:ds="http://schemas.openxmlformats.org/officeDocument/2006/customXml" ds:itemID="{CCA40A62-D473-486D-ABA2-C875F700D5BB}">
  <ds:schemaRefs/>
</ds:datastoreItem>
</file>

<file path=customXml/itemProps16.xml><?xml version="1.0" encoding="utf-8"?>
<ds:datastoreItem xmlns:ds="http://schemas.openxmlformats.org/officeDocument/2006/customXml" ds:itemID="{4DA5204D-4EA4-4073-B9F7-A734E869D35D}">
  <ds:schemaRefs/>
</ds:datastoreItem>
</file>

<file path=customXml/itemProps17.xml><?xml version="1.0" encoding="utf-8"?>
<ds:datastoreItem xmlns:ds="http://schemas.openxmlformats.org/officeDocument/2006/customXml" ds:itemID="{76AB78A3-9624-4524-AFA5-C25B0A0CD416}">
  <ds:schemaRefs/>
</ds:datastoreItem>
</file>

<file path=customXml/itemProps18.xml><?xml version="1.0" encoding="utf-8"?>
<ds:datastoreItem xmlns:ds="http://schemas.openxmlformats.org/officeDocument/2006/customXml" ds:itemID="{6D2BEE4E-7135-474E-B7BB-3232C68152CE}">
  <ds:schemaRefs/>
</ds:datastoreItem>
</file>

<file path=customXml/itemProps19.xml><?xml version="1.0" encoding="utf-8"?>
<ds:datastoreItem xmlns:ds="http://schemas.openxmlformats.org/officeDocument/2006/customXml" ds:itemID="{16AA2860-EE45-4077-A4A8-B0E887C1E5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PL_Consol</vt:lpstr>
      <vt:lpstr>Anx_Consl_PL</vt:lpstr>
      <vt:lpstr>PL_Kochi</vt:lpstr>
      <vt:lpstr>PL_Calicut</vt:lpstr>
      <vt:lpstr>PL_FNB</vt:lpstr>
      <vt:lpstr>Depr.</vt:lpstr>
      <vt:lpstr>ECL</vt:lpstr>
      <vt:lpstr>TB_Kochi</vt:lpstr>
      <vt:lpstr>Sheet1</vt:lpstr>
      <vt:lpstr>TB_Calicut</vt:lpstr>
      <vt:lpstr>TB_FNB</vt:lpstr>
      <vt:lpstr>PL_F&amp;B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Dilshad V.P</dc:creator>
  <cp:lastModifiedBy>Jithin  P</cp:lastModifiedBy>
  <cp:lastPrinted>2026-05-08T06:14:29Z</cp:lastPrinted>
  <dcterms:created xsi:type="dcterms:W3CDTF">2024-12-18T06:07:37Z</dcterms:created>
  <dcterms:modified xsi:type="dcterms:W3CDTF">2026-06-11T05:00:35Z</dcterms:modified>
</cp:coreProperties>
</file>