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09fdbd93d202da/Desktop/Models/India Equity/"/>
    </mc:Choice>
  </mc:AlternateContent>
  <xr:revisionPtr revIDLastSave="1565" documentId="8_{00146CF5-097D-4BE1-AB61-B3F0EBF6BCA1}" xr6:coauthVersionLast="47" xr6:coauthVersionMax="47" xr10:uidLastSave="{12525FE0-515B-4A06-A9EF-DE1A8100BA6B}"/>
  <bookViews>
    <workbookView xWindow="-98" yWindow="-98" windowWidth="21795" windowHeight="12975" activeTab="1" xr2:uid="{E3438686-22BE-4BAA-B378-46A842C0F6A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48" i="2" l="1"/>
  <c r="H8" i="1"/>
  <c r="AG42" i="2"/>
  <c r="AH42" i="2"/>
  <c r="AI42" i="2"/>
  <c r="AJ42" i="2"/>
  <c r="AK42" i="2"/>
  <c r="AL42" i="2"/>
  <c r="AM42" i="2"/>
  <c r="AN42" i="2"/>
  <c r="AO42" i="2"/>
  <c r="AP42" i="2"/>
  <c r="W39" i="2"/>
  <c r="X39" i="2"/>
  <c r="Y39" i="2"/>
  <c r="Z39" i="2"/>
  <c r="AA39" i="2"/>
  <c r="AB39" i="2"/>
  <c r="AC39" i="2"/>
  <c r="AD39" i="2"/>
  <c r="V39" i="2"/>
  <c r="Y75" i="2" l="1"/>
  <c r="Y80" i="2" s="1"/>
  <c r="Z75" i="2"/>
  <c r="V85" i="2"/>
  <c r="W85" i="2"/>
  <c r="X85" i="2"/>
  <c r="Y85" i="2"/>
  <c r="Z85" i="2"/>
  <c r="U85" i="2"/>
  <c r="AA85" i="2"/>
  <c r="AA75" i="2"/>
  <c r="AA80" i="2" s="1"/>
  <c r="AC80" i="2"/>
  <c r="AB75" i="2"/>
  <c r="AB80" i="2" s="1"/>
  <c r="AC75" i="2"/>
  <c r="AC85" i="2"/>
  <c r="AB85" i="2"/>
  <c r="AD85" i="2"/>
  <c r="Z80" i="2"/>
  <c r="X80" i="2"/>
  <c r="W80" i="2"/>
  <c r="V80" i="2"/>
  <c r="U80" i="2"/>
  <c r="AC71" i="2"/>
  <c r="AB71" i="2"/>
  <c r="AA71" i="2"/>
  <c r="Z71" i="2"/>
  <c r="Y71" i="2"/>
  <c r="X71" i="2"/>
  <c r="W71" i="2"/>
  <c r="V71" i="2"/>
  <c r="U71" i="2"/>
  <c r="AC60" i="2"/>
  <c r="AB60" i="2"/>
  <c r="AB90" i="2" s="1"/>
  <c r="AA60" i="2"/>
  <c r="Z60" i="2"/>
  <c r="Z90" i="2" s="1"/>
  <c r="Y60" i="2"/>
  <c r="Y90" i="2" s="1"/>
  <c r="X60" i="2"/>
  <c r="W60" i="2"/>
  <c r="V60" i="2"/>
  <c r="U60" i="2"/>
  <c r="AD75" i="2"/>
  <c r="AD80" i="2" s="1"/>
  <c r="AD71" i="2"/>
  <c r="AD60" i="2"/>
  <c r="W5" i="2"/>
  <c r="X5" i="2"/>
  <c r="Y5" i="2"/>
  <c r="Z5" i="2"/>
  <c r="AA5" i="2"/>
  <c r="AB5" i="2"/>
  <c r="AC5" i="2"/>
  <c r="AD5" i="2"/>
  <c r="V5" i="2"/>
  <c r="AH12" i="2"/>
  <c r="AI12" i="2" s="1"/>
  <c r="AJ12" i="2" s="1"/>
  <c r="AK12" i="2" s="1"/>
  <c r="AL12" i="2" s="1"/>
  <c r="AM12" i="2" s="1"/>
  <c r="AN12" i="2" s="1"/>
  <c r="AO12" i="2" s="1"/>
  <c r="AP12" i="2" s="1"/>
  <c r="AH10" i="2"/>
  <c r="AI10" i="2" s="1"/>
  <c r="AJ10" i="2" s="1"/>
  <c r="AK10" i="2" s="1"/>
  <c r="AL10" i="2" s="1"/>
  <c r="AM10" i="2" s="1"/>
  <c r="AN10" i="2" s="1"/>
  <c r="AO10" i="2" s="1"/>
  <c r="AP10" i="2" s="1"/>
  <c r="AG9" i="2"/>
  <c r="AH9" i="2" s="1"/>
  <c r="AI9" i="2" s="1"/>
  <c r="AJ9" i="2" s="1"/>
  <c r="AK9" i="2" s="1"/>
  <c r="AL9" i="2" s="1"/>
  <c r="AM9" i="2" s="1"/>
  <c r="AN9" i="2" s="1"/>
  <c r="AO9" i="2" s="1"/>
  <c r="AP9" i="2" s="1"/>
  <c r="AH7" i="2"/>
  <c r="AI7" i="2" s="1"/>
  <c r="AJ7" i="2" s="1"/>
  <c r="AH5" i="2"/>
  <c r="AI5" i="2" s="1"/>
  <c r="AJ5" i="2" s="1"/>
  <c r="AK5" i="2" s="1"/>
  <c r="AL5" i="2" s="1"/>
  <c r="AM5" i="2" s="1"/>
  <c r="AN5" i="2" s="1"/>
  <c r="AO5" i="2" s="1"/>
  <c r="AP5" i="2" s="1"/>
  <c r="V7" i="2"/>
  <c r="V14" i="2" s="1"/>
  <c r="W7" i="2"/>
  <c r="X7" i="2"/>
  <c r="Y7" i="2"/>
  <c r="Z7" i="2"/>
  <c r="AA7" i="2"/>
  <c r="AB7" i="2"/>
  <c r="AC7" i="2"/>
  <c r="AD7" i="2"/>
  <c r="U7" i="2"/>
  <c r="U14" i="2" s="1"/>
  <c r="V9" i="2"/>
  <c r="W9" i="2"/>
  <c r="X9" i="2"/>
  <c r="Y9" i="2"/>
  <c r="Z9" i="2"/>
  <c r="AA9" i="2"/>
  <c r="AB9" i="2"/>
  <c r="AC9" i="2"/>
  <c r="AD9" i="2"/>
  <c r="U9" i="2"/>
  <c r="Z38" i="2" l="1"/>
  <c r="AA90" i="2"/>
  <c r="AA38" i="2" s="1"/>
  <c r="AD90" i="2"/>
  <c r="U90" i="2"/>
  <c r="V90" i="2"/>
  <c r="W90" i="2"/>
  <c r="W38" i="2" s="1"/>
  <c r="AC90" i="2"/>
  <c r="AC38" i="2" s="1"/>
  <c r="X90" i="2"/>
  <c r="X38" i="2" s="1"/>
  <c r="X48" i="2" s="1"/>
  <c r="Y86" i="2"/>
  <c r="Y88" i="2" s="1"/>
  <c r="Z72" i="2"/>
  <c r="Z86" i="2"/>
  <c r="Z88" i="2" s="1"/>
  <c r="AD86" i="2"/>
  <c r="AD88" i="2" s="1"/>
  <c r="W72" i="2"/>
  <c r="X14" i="2"/>
  <c r="V72" i="2"/>
  <c r="W14" i="2"/>
  <c r="U86" i="2"/>
  <c r="U88" i="2" s="1"/>
  <c r="W86" i="2"/>
  <c r="W88" i="2" s="1"/>
  <c r="U72" i="2"/>
  <c r="X72" i="2"/>
  <c r="Y14" i="2"/>
  <c r="V86" i="2"/>
  <c r="V88" i="2" s="1"/>
  <c r="Y72" i="2"/>
  <c r="AA86" i="2"/>
  <c r="AA88" i="2" s="1"/>
  <c r="AD72" i="2"/>
  <c r="X86" i="2"/>
  <c r="X88" i="2" s="1"/>
  <c r="AA72" i="2"/>
  <c r="AB86" i="2"/>
  <c r="AB88" i="2" s="1"/>
  <c r="AB72" i="2"/>
  <c r="AC86" i="2"/>
  <c r="AC88" i="2" s="1"/>
  <c r="AC72" i="2"/>
  <c r="AK7" i="2"/>
  <c r="AD14" i="2"/>
  <c r="AB14" i="2"/>
  <c r="Z14" i="2"/>
  <c r="AC14" i="2"/>
  <c r="AA14" i="2"/>
  <c r="AH30" i="2"/>
  <c r="AI30" i="2" s="1"/>
  <c r="AJ30" i="2" s="1"/>
  <c r="AK30" i="2" s="1"/>
  <c r="AL30" i="2" s="1"/>
  <c r="AM30" i="2" s="1"/>
  <c r="AN30" i="2" s="1"/>
  <c r="AO30" i="2" s="1"/>
  <c r="AP30" i="2" s="1"/>
  <c r="AE30" i="2"/>
  <c r="AE1" i="2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H45" i="2" s="1"/>
  <c r="AI45" i="2" s="1"/>
  <c r="AJ45" i="2" s="1"/>
  <c r="AK45" i="2" s="1"/>
  <c r="AL45" i="2" s="1"/>
  <c r="AM45" i="2" s="1"/>
  <c r="AN45" i="2" s="1"/>
  <c r="AO45" i="2" s="1"/>
  <c r="V28" i="2"/>
  <c r="Z28" i="2"/>
  <c r="AA28" i="2"/>
  <c r="AB28" i="2"/>
  <c r="AC28" i="2"/>
  <c r="U28" i="2"/>
  <c r="O30" i="2"/>
  <c r="E28" i="2"/>
  <c r="F28" i="2"/>
  <c r="G28" i="2"/>
  <c r="H28" i="2"/>
  <c r="I28" i="2"/>
  <c r="J28" i="2"/>
  <c r="K28" i="2"/>
  <c r="L28" i="2"/>
  <c r="M28" i="2"/>
  <c r="D28" i="2"/>
  <c r="N18" i="2"/>
  <c r="AE18" i="2" s="1"/>
  <c r="O17" i="2"/>
  <c r="P17" i="2"/>
  <c r="Q17" i="2"/>
  <c r="N17" i="2"/>
  <c r="R17" i="2" s="1"/>
  <c r="J50" i="2"/>
  <c r="J84" i="2"/>
  <c r="J74" i="2"/>
  <c r="J79" i="2" s="1"/>
  <c r="J70" i="2"/>
  <c r="J59" i="2"/>
  <c r="U35" i="2"/>
  <c r="V35" i="2"/>
  <c r="W35" i="2"/>
  <c r="W27" i="2"/>
  <c r="W28" i="2" s="1"/>
  <c r="X27" i="2"/>
  <c r="X28" i="2" s="1"/>
  <c r="X35" i="2"/>
  <c r="Y27" i="2"/>
  <c r="Y28" i="2" s="1"/>
  <c r="Y35" i="2"/>
  <c r="Z35" i="2"/>
  <c r="V19" i="2"/>
  <c r="V47" i="2" s="1"/>
  <c r="W19" i="2"/>
  <c r="W47" i="2" s="1"/>
  <c r="X19" i="2"/>
  <c r="X47" i="2" s="1"/>
  <c r="Y19" i="2"/>
  <c r="Y47" i="2" s="1"/>
  <c r="Z19" i="2"/>
  <c r="Z47" i="2" s="1"/>
  <c r="AA19" i="2"/>
  <c r="AA47" i="2" s="1"/>
  <c r="AB19" i="2"/>
  <c r="AB47" i="2" s="1"/>
  <c r="AC19" i="2"/>
  <c r="AC47" i="2" s="1"/>
  <c r="U19" i="2"/>
  <c r="AD32" i="2"/>
  <c r="AD30" i="2"/>
  <c r="AD23" i="2"/>
  <c r="AD24" i="2"/>
  <c r="AD25" i="2"/>
  <c r="AD26" i="2"/>
  <c r="AD27" i="2"/>
  <c r="AD22" i="2"/>
  <c r="AD20" i="2"/>
  <c r="AD18" i="2"/>
  <c r="AD17" i="2"/>
  <c r="AC48" i="2" l="1"/>
  <c r="W48" i="2"/>
  <c r="AA48" i="2"/>
  <c r="Z48" i="2"/>
  <c r="AB38" i="2"/>
  <c r="AB48" i="2" s="1"/>
  <c r="AC21" i="2"/>
  <c r="AC46" i="2"/>
  <c r="Z21" i="2"/>
  <c r="Z29" i="2" s="1"/>
  <c r="Z31" i="2" s="1"/>
  <c r="Z46" i="2"/>
  <c r="X21" i="2"/>
  <c r="X43" i="2" s="1"/>
  <c r="X46" i="2"/>
  <c r="AB21" i="2"/>
  <c r="AB43" i="2" s="1"/>
  <c r="AB46" i="2"/>
  <c r="AA21" i="2"/>
  <c r="AA43" i="2" s="1"/>
  <c r="AA46" i="2"/>
  <c r="V21" i="2"/>
  <c r="V43" i="2" s="1"/>
  <c r="V46" i="2"/>
  <c r="W21" i="2"/>
  <c r="W43" i="2" s="1"/>
  <c r="W46" i="2"/>
  <c r="Y21" i="2"/>
  <c r="Y29" i="2" s="1"/>
  <c r="Y31" i="2" s="1"/>
  <c r="Y46" i="2"/>
  <c r="U21" i="2"/>
  <c r="U29" i="2" s="1"/>
  <c r="U31" i="2" s="1"/>
  <c r="U44" i="2" s="1"/>
  <c r="U46" i="2"/>
  <c r="Y38" i="2"/>
  <c r="Y48" i="2" s="1"/>
  <c r="V38" i="2"/>
  <c r="V48" i="2" s="1"/>
  <c r="AD38" i="2"/>
  <c r="AL7" i="2"/>
  <c r="Z45" i="2"/>
  <c r="AC45" i="2"/>
  <c r="AA45" i="2"/>
  <c r="AC29" i="2"/>
  <c r="AC31" i="2" s="1"/>
  <c r="AF17" i="2"/>
  <c r="W45" i="2"/>
  <c r="U45" i="2"/>
  <c r="AD28" i="2"/>
  <c r="X45" i="2"/>
  <c r="Y45" i="2"/>
  <c r="AB45" i="2"/>
  <c r="AE17" i="2"/>
  <c r="AE19" i="2" s="1"/>
  <c r="P30" i="2"/>
  <c r="Q30" i="2" s="1"/>
  <c r="R30" i="2" s="1"/>
  <c r="V45" i="2"/>
  <c r="N19" i="2"/>
  <c r="V42" i="2"/>
  <c r="AB42" i="2"/>
  <c r="AC42" i="2"/>
  <c r="AC43" i="2"/>
  <c r="J71" i="2"/>
  <c r="J85" i="2"/>
  <c r="J87" i="2" s="1"/>
  <c r="AD19" i="2"/>
  <c r="O18" i="2"/>
  <c r="AA42" i="2"/>
  <c r="Z42" i="2"/>
  <c r="Y42" i="2"/>
  <c r="X42" i="2"/>
  <c r="Y43" i="2"/>
  <c r="W42" i="2"/>
  <c r="E19" i="2"/>
  <c r="E45" i="2" s="1"/>
  <c r="F19" i="2"/>
  <c r="F45" i="2" s="1"/>
  <c r="G19" i="2"/>
  <c r="G45" i="2" s="1"/>
  <c r="H19" i="2"/>
  <c r="H45" i="2" s="1"/>
  <c r="I19" i="2"/>
  <c r="I45" i="2" s="1"/>
  <c r="J19" i="2"/>
  <c r="J45" i="2" s="1"/>
  <c r="K19" i="2"/>
  <c r="K45" i="2" s="1"/>
  <c r="E35" i="2"/>
  <c r="F35" i="2"/>
  <c r="G35" i="2"/>
  <c r="H35" i="2"/>
  <c r="I35" i="2"/>
  <c r="J35" i="2"/>
  <c r="AA35" i="2" s="1"/>
  <c r="K35" i="2"/>
  <c r="AB35" i="2" s="1"/>
  <c r="D35" i="2"/>
  <c r="D19" i="2"/>
  <c r="D45" i="2" s="1"/>
  <c r="L35" i="2"/>
  <c r="AC35" i="2" s="1"/>
  <c r="L19" i="2"/>
  <c r="L45" i="2" s="1"/>
  <c r="M35" i="2"/>
  <c r="M19" i="2"/>
  <c r="M45" i="2" s="1"/>
  <c r="H7" i="1"/>
  <c r="H5" i="1"/>
  <c r="H4" i="1"/>
  <c r="Z43" i="2" l="1"/>
  <c r="AE39" i="2"/>
  <c r="AE38" i="2"/>
  <c r="AE26" i="2"/>
  <c r="AD42" i="2"/>
  <c r="AD47" i="2"/>
  <c r="W29" i="2"/>
  <c r="W31" i="2" s="1"/>
  <c r="W33" i="2" s="1"/>
  <c r="U43" i="2"/>
  <c r="AD48" i="2"/>
  <c r="AA29" i="2"/>
  <c r="AA31" i="2" s="1"/>
  <c r="AA33" i="2" s="1"/>
  <c r="V29" i="2"/>
  <c r="V31" i="2" s="1"/>
  <c r="V33" i="2" s="1"/>
  <c r="V34" i="2" s="1"/>
  <c r="AB29" i="2"/>
  <c r="AB31" i="2" s="1"/>
  <c r="AB33" i="2" s="1"/>
  <c r="X29" i="2"/>
  <c r="X31" i="2" s="1"/>
  <c r="X33" i="2" s="1"/>
  <c r="AD46" i="2"/>
  <c r="AE14" i="2"/>
  <c r="AE4" i="2" s="1"/>
  <c r="AE5" i="2" s="1"/>
  <c r="AM7" i="2"/>
  <c r="Y33" i="2"/>
  <c r="Y44" i="2"/>
  <c r="AF30" i="2"/>
  <c r="AE42" i="2"/>
  <c r="U33" i="2"/>
  <c r="O45" i="2"/>
  <c r="N21" i="2"/>
  <c r="N45" i="2"/>
  <c r="AD45" i="2"/>
  <c r="AC33" i="2"/>
  <c r="AC44" i="2"/>
  <c r="Z33" i="2"/>
  <c r="Z44" i="2"/>
  <c r="P45" i="2"/>
  <c r="R45" i="2"/>
  <c r="Q45" i="2"/>
  <c r="AD35" i="2"/>
  <c r="N35" i="2"/>
  <c r="AD21" i="2"/>
  <c r="AD29" i="2" s="1"/>
  <c r="AD31" i="2" s="1"/>
  <c r="P18" i="2"/>
  <c r="O19" i="2"/>
  <c r="G21" i="2"/>
  <c r="G29" i="2" s="1"/>
  <c r="J21" i="2"/>
  <c r="J29" i="2" s="1"/>
  <c r="J42" i="2"/>
  <c r="F21" i="2"/>
  <c r="F29" i="2" s="1"/>
  <c r="M21" i="2"/>
  <c r="M29" i="2" s="1"/>
  <c r="M42" i="2"/>
  <c r="K21" i="2"/>
  <c r="K42" i="2"/>
  <c r="L21" i="2"/>
  <c r="L29" i="2" s="1"/>
  <c r="L42" i="2"/>
  <c r="I21" i="2"/>
  <c r="I29" i="2" s="1"/>
  <c r="I42" i="2"/>
  <c r="D21" i="2"/>
  <c r="D29" i="2" s="1"/>
  <c r="H21" i="2"/>
  <c r="H29" i="2" s="1"/>
  <c r="H42" i="2"/>
  <c r="E21" i="2"/>
  <c r="E29" i="2" s="1"/>
  <c r="V36" i="2" l="1"/>
  <c r="V37" i="2" s="1"/>
  <c r="V40" i="2" s="1"/>
  <c r="AB44" i="2"/>
  <c r="AA44" i="2"/>
  <c r="W44" i="2"/>
  <c r="V44" i="2"/>
  <c r="AD43" i="2"/>
  <c r="X44" i="2"/>
  <c r="AB34" i="2"/>
  <c r="AB36" i="2"/>
  <c r="AB37" i="2" s="1"/>
  <c r="AB40" i="2" s="1"/>
  <c r="U34" i="2"/>
  <c r="U36" i="2"/>
  <c r="U37" i="2" s="1"/>
  <c r="X34" i="2"/>
  <c r="X36" i="2"/>
  <c r="X37" i="2" s="1"/>
  <c r="X40" i="2" s="1"/>
  <c r="AA34" i="2"/>
  <c r="AA36" i="2"/>
  <c r="AA37" i="2" s="1"/>
  <c r="AA40" i="2" s="1"/>
  <c r="Y34" i="2"/>
  <c r="Y36" i="2"/>
  <c r="Y37" i="2" s="1"/>
  <c r="Y40" i="2" s="1"/>
  <c r="W34" i="2"/>
  <c r="W36" i="2"/>
  <c r="W37" i="2" s="1"/>
  <c r="W40" i="2" s="1"/>
  <c r="Z34" i="2"/>
  <c r="Z36" i="2"/>
  <c r="Z37" i="2" s="1"/>
  <c r="Z40" i="2" s="1"/>
  <c r="AC34" i="2"/>
  <c r="AC36" i="2"/>
  <c r="AC37" i="2" s="1"/>
  <c r="AC40" i="2" s="1"/>
  <c r="O28" i="2"/>
  <c r="AN7" i="2"/>
  <c r="AE21" i="2"/>
  <c r="K29" i="2"/>
  <c r="K31" i="2" s="1"/>
  <c r="O35" i="2"/>
  <c r="AE35" i="2"/>
  <c r="N28" i="2"/>
  <c r="AD33" i="2"/>
  <c r="AD44" i="2"/>
  <c r="O21" i="2"/>
  <c r="Q18" i="2"/>
  <c r="P19" i="2"/>
  <c r="P28" i="2" s="1"/>
  <c r="L31" i="2"/>
  <c r="L43" i="2"/>
  <c r="I31" i="2"/>
  <c r="I43" i="2"/>
  <c r="K43" i="2"/>
  <c r="M31" i="2"/>
  <c r="M43" i="2"/>
  <c r="H31" i="2"/>
  <c r="H43" i="2"/>
  <c r="F31" i="2"/>
  <c r="F43" i="2"/>
  <c r="D31" i="2"/>
  <c r="D43" i="2"/>
  <c r="J31" i="2"/>
  <c r="J43" i="2"/>
  <c r="E31" i="2"/>
  <c r="E43" i="2"/>
  <c r="G31" i="2"/>
  <c r="G43" i="2"/>
  <c r="AD34" i="2" l="1"/>
  <c r="AD36" i="2"/>
  <c r="AD37" i="2" s="1"/>
  <c r="AD40" i="2" s="1"/>
  <c r="AO7" i="2"/>
  <c r="N29" i="2"/>
  <c r="N31" i="2" s="1"/>
  <c r="AE28" i="2"/>
  <c r="AE45" i="2" s="1"/>
  <c r="P35" i="2"/>
  <c r="Q35" i="2" s="1"/>
  <c r="R35" i="2" s="1"/>
  <c r="AF35" i="2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E43" i="2"/>
  <c r="O29" i="2"/>
  <c r="E33" i="2"/>
  <c r="E34" i="2" s="1"/>
  <c r="E44" i="2"/>
  <c r="K33" i="2"/>
  <c r="K34" i="2" s="1"/>
  <c r="K44" i="2"/>
  <c r="G33" i="2"/>
  <c r="G34" i="2" s="1"/>
  <c r="G44" i="2"/>
  <c r="I33" i="2"/>
  <c r="I34" i="2" s="1"/>
  <c r="I44" i="2"/>
  <c r="D33" i="2"/>
  <c r="D34" i="2" s="1"/>
  <c r="D44" i="2"/>
  <c r="P21" i="2"/>
  <c r="H33" i="2"/>
  <c r="H34" i="2" s="1"/>
  <c r="H44" i="2"/>
  <c r="M33" i="2"/>
  <c r="M34" i="2" s="1"/>
  <c r="M44" i="2"/>
  <c r="J33" i="2"/>
  <c r="J34" i="2" s="1"/>
  <c r="J44" i="2"/>
  <c r="L33" i="2"/>
  <c r="L34" i="2" s="1"/>
  <c r="L44" i="2"/>
  <c r="F33" i="2"/>
  <c r="F34" i="2" s="1"/>
  <c r="F44" i="2"/>
  <c r="R18" i="2"/>
  <c r="R19" i="2" s="1"/>
  <c r="R28" i="2" s="1"/>
  <c r="Q19" i="2"/>
  <c r="Q28" i="2" s="1"/>
  <c r="AF28" i="2" s="1"/>
  <c r="AP7" i="2" l="1"/>
  <c r="R44" i="2"/>
  <c r="AE29" i="2"/>
  <c r="AE31" i="2" s="1"/>
  <c r="P44" i="2"/>
  <c r="AF18" i="2"/>
  <c r="AF19" i="2" s="1"/>
  <c r="O31" i="2"/>
  <c r="P29" i="2"/>
  <c r="Q44" i="2"/>
  <c r="N44" i="2"/>
  <c r="N32" i="2" s="1"/>
  <c r="AE32" i="2" s="1"/>
  <c r="O44" i="2"/>
  <c r="K50" i="2"/>
  <c r="L50" i="2" s="1"/>
  <c r="M50" i="2" s="1"/>
  <c r="Q21" i="2"/>
  <c r="R21" i="2"/>
  <c r="R29" i="2" s="1"/>
  <c r="AF39" i="2" l="1"/>
  <c r="AF38" i="2"/>
  <c r="AF26" i="2"/>
  <c r="AF42" i="2"/>
  <c r="AF14" i="2"/>
  <c r="AF4" i="2" s="1"/>
  <c r="AE44" i="2"/>
  <c r="P31" i="2"/>
  <c r="O32" i="2"/>
  <c r="N33" i="2"/>
  <c r="N34" i="2" s="1"/>
  <c r="Q29" i="2"/>
  <c r="AF29" i="2" s="1"/>
  <c r="AF21" i="2"/>
  <c r="AF43" i="2" s="1"/>
  <c r="AE33" i="2"/>
  <c r="AF45" i="2"/>
  <c r="R31" i="2"/>
  <c r="AE34" i="2" l="1"/>
  <c r="AE36" i="2"/>
  <c r="AE37" i="2" s="1"/>
  <c r="AE40" i="2" s="1"/>
  <c r="AF5" i="2"/>
  <c r="AG4" i="2"/>
  <c r="N50" i="2"/>
  <c r="AE50" i="2" s="1"/>
  <c r="Q31" i="2"/>
  <c r="R32" i="2"/>
  <c r="R33" i="2" s="1"/>
  <c r="R34" i="2" s="1"/>
  <c r="O33" i="2"/>
  <c r="O34" i="2" s="1"/>
  <c r="P32" i="2"/>
  <c r="AH4" i="2" l="1"/>
  <c r="AG8" i="2"/>
  <c r="AG6" i="2"/>
  <c r="AG14" i="2" s="1"/>
  <c r="AG17" i="2" s="1"/>
  <c r="P33" i="2"/>
  <c r="P34" i="2" s="1"/>
  <c r="Q32" i="2"/>
  <c r="AF32" i="2" s="1"/>
  <c r="AF31" i="2"/>
  <c r="AI4" i="2" l="1"/>
  <c r="AH8" i="2"/>
  <c r="AH6" i="2"/>
  <c r="AF44" i="2"/>
  <c r="AF33" i="2"/>
  <c r="AF36" i="2" s="1"/>
  <c r="AF37" i="2" s="1"/>
  <c r="AF40" i="2" s="1"/>
  <c r="Q33" i="2"/>
  <c r="Q34" i="2" s="1"/>
  <c r="AH14" i="2" l="1"/>
  <c r="AH17" i="2" s="1"/>
  <c r="AJ4" i="2"/>
  <c r="AI8" i="2"/>
  <c r="AI6" i="2"/>
  <c r="AF34" i="2"/>
  <c r="AF50" i="2"/>
  <c r="AG18" i="2" s="1"/>
  <c r="AG19" i="2" s="1"/>
  <c r="AG39" i="2" l="1"/>
  <c r="AG38" i="2"/>
  <c r="AG26" i="2"/>
  <c r="AI14" i="2"/>
  <c r="AI17" i="2" s="1"/>
  <c r="AK4" i="2"/>
  <c r="AJ8" i="2"/>
  <c r="AJ6" i="2"/>
  <c r="AG28" i="2"/>
  <c r="AG21" i="2"/>
  <c r="AG29" i="2" l="1"/>
  <c r="AG31" i="2" s="1"/>
  <c r="AG32" i="2" s="1"/>
  <c r="AG33" i="2" s="1"/>
  <c r="AG36" i="2" s="1"/>
  <c r="AG37" i="2" s="1"/>
  <c r="AG40" i="2" s="1"/>
  <c r="AJ14" i="2"/>
  <c r="AJ17" i="2" s="1"/>
  <c r="AL4" i="2"/>
  <c r="AK8" i="2"/>
  <c r="AK6" i="2"/>
  <c r="AG50" i="2"/>
  <c r="AG34" i="2"/>
  <c r="AL6" i="2" l="1"/>
  <c r="AM4" i="2"/>
  <c r="AL8" i="2"/>
  <c r="AK14" i="2"/>
  <c r="AK17" i="2" s="1"/>
  <c r="AH18" i="2"/>
  <c r="AH19" i="2" s="1"/>
  <c r="AH39" i="2" l="1"/>
  <c r="AH38" i="2"/>
  <c r="AH26" i="2"/>
  <c r="AL14" i="2"/>
  <c r="AL17" i="2" s="1"/>
  <c r="AN4" i="2"/>
  <c r="AM8" i="2"/>
  <c r="AM6" i="2"/>
  <c r="AH28" i="2"/>
  <c r="AH21" i="2"/>
  <c r="AM14" i="2" l="1"/>
  <c r="AM17" i="2" s="1"/>
  <c r="AO4" i="2"/>
  <c r="AN8" i="2"/>
  <c r="AN6" i="2"/>
  <c r="AH29" i="2"/>
  <c r="AH31" i="2" s="1"/>
  <c r="AH32" i="2" s="1"/>
  <c r="AH33" i="2" s="1"/>
  <c r="AH36" i="2" s="1"/>
  <c r="AH37" i="2" s="1"/>
  <c r="AH40" i="2" s="1"/>
  <c r="AN14" i="2" l="1"/>
  <c r="AN17" i="2" s="1"/>
  <c r="AO8" i="2"/>
  <c r="AO6" i="2"/>
  <c r="AP4" i="2"/>
  <c r="AH34" i="2"/>
  <c r="AH50" i="2"/>
  <c r="AP8" i="2" l="1"/>
  <c r="AP6" i="2"/>
  <c r="AO14" i="2"/>
  <c r="AO17" i="2" s="1"/>
  <c r="AI18" i="2"/>
  <c r="AI19" i="2" s="1"/>
  <c r="AI39" i="2" l="1"/>
  <c r="AI38" i="2"/>
  <c r="AI26" i="2"/>
  <c r="AP14" i="2"/>
  <c r="AP17" i="2" s="1"/>
  <c r="AI28" i="2"/>
  <c r="AI21" i="2"/>
  <c r="AI29" i="2" s="1"/>
  <c r="AI31" i="2" s="1"/>
  <c r="AI32" i="2" s="1"/>
  <c r="AI33" i="2" s="1"/>
  <c r="AI36" i="2" s="1"/>
  <c r="AI37" i="2" s="1"/>
  <c r="AI40" i="2" s="1"/>
  <c r="AI34" i="2" l="1"/>
  <c r="AI50" i="2"/>
  <c r="AJ18" i="2" l="1"/>
  <c r="AJ19" i="2" s="1"/>
  <c r="AJ39" i="2" l="1"/>
  <c r="AJ38" i="2"/>
  <c r="AJ26" i="2"/>
  <c r="AJ28" i="2"/>
  <c r="AJ21" i="2"/>
  <c r="AJ29" i="2" s="1"/>
  <c r="AJ31" i="2" s="1"/>
  <c r="AJ32" i="2" s="1"/>
  <c r="AJ33" i="2" s="1"/>
  <c r="AJ36" i="2" s="1"/>
  <c r="AJ37" i="2" s="1"/>
  <c r="AJ40" i="2" s="1"/>
  <c r="AJ34" i="2" l="1"/>
  <c r="AJ50" i="2"/>
  <c r="AK18" i="2" s="1"/>
  <c r="AK19" i="2" s="1"/>
  <c r="AK39" i="2" l="1"/>
  <c r="AK38" i="2"/>
  <c r="AK26" i="2"/>
  <c r="AK28" i="2"/>
  <c r="AK21" i="2"/>
  <c r="AK29" i="2" l="1"/>
  <c r="AK31" i="2" s="1"/>
  <c r="AK32" i="2" s="1"/>
  <c r="AK33" i="2" s="1"/>
  <c r="AK50" i="2" l="1"/>
  <c r="AK36" i="2"/>
  <c r="AK37" i="2" s="1"/>
  <c r="AK40" i="2" s="1"/>
  <c r="AK34" i="2"/>
  <c r="AL18" i="2"/>
  <c r="AL19" i="2" s="1"/>
  <c r="AL39" i="2" l="1"/>
  <c r="AL38" i="2"/>
  <c r="AL26" i="2"/>
  <c r="AL28" i="2"/>
  <c r="AL21" i="2"/>
  <c r="AL29" i="2" s="1"/>
  <c r="AL31" i="2" s="1"/>
  <c r="AL32" i="2" l="1"/>
  <c r="AL33" i="2" s="1"/>
  <c r="AL36" i="2" s="1"/>
  <c r="AL37" i="2" s="1"/>
  <c r="AL40" i="2" s="1"/>
  <c r="AL34" i="2" l="1"/>
  <c r="AL50" i="2"/>
  <c r="AM18" i="2" l="1"/>
  <c r="AM19" i="2" s="1"/>
  <c r="AM39" i="2" l="1"/>
  <c r="AM38" i="2"/>
  <c r="AM26" i="2"/>
  <c r="AM28" i="2"/>
  <c r="AM21" i="2"/>
  <c r="AM29" i="2" l="1"/>
  <c r="AM31" i="2" s="1"/>
  <c r="AM32" i="2" s="1"/>
  <c r="AM33" i="2" s="1"/>
  <c r="AM36" i="2" s="1"/>
  <c r="AM37" i="2" s="1"/>
  <c r="AM40" i="2" s="1"/>
  <c r="AM50" i="2" l="1"/>
  <c r="AN18" i="2" s="1"/>
  <c r="AN19" i="2" s="1"/>
  <c r="AM34" i="2"/>
  <c r="AN38" i="2" l="1"/>
  <c r="AN39" i="2"/>
  <c r="AN26" i="2"/>
  <c r="AN28" i="2"/>
  <c r="AN21" i="2"/>
  <c r="AN29" i="2" l="1"/>
  <c r="AN31" i="2" s="1"/>
  <c r="AN32" i="2" s="1"/>
  <c r="AN33" i="2" s="1"/>
  <c r="AN36" i="2" s="1"/>
  <c r="AN37" i="2" s="1"/>
  <c r="AN40" i="2" s="1"/>
  <c r="AN34" i="2" l="1"/>
  <c r="AN50" i="2"/>
  <c r="AO18" i="2" l="1"/>
  <c r="AO19" i="2" s="1"/>
  <c r="AO38" i="2" l="1"/>
  <c r="AO39" i="2"/>
  <c r="AO26" i="2"/>
  <c r="AO28" i="2"/>
  <c r="AO21" i="2"/>
  <c r="AO29" i="2" l="1"/>
  <c r="AO31" i="2" s="1"/>
  <c r="AO32" i="2" s="1"/>
  <c r="AO33" i="2" s="1"/>
  <c r="AO36" i="2" s="1"/>
  <c r="AO37" i="2" s="1"/>
  <c r="AO40" i="2" s="1"/>
  <c r="AO34" i="2" l="1"/>
  <c r="AO50" i="2"/>
  <c r="AP18" i="2" l="1"/>
  <c r="AP19" i="2" s="1"/>
  <c r="AP39" i="2" l="1"/>
  <c r="AP38" i="2"/>
  <c r="AP26" i="2"/>
  <c r="AP28" i="2"/>
  <c r="AP21" i="2"/>
  <c r="AP29" i="2" l="1"/>
  <c r="AP31" i="2" s="1"/>
  <c r="AP32" i="2" s="1"/>
  <c r="AP33" i="2" s="1"/>
  <c r="AP36" i="2" s="1"/>
  <c r="AP37" i="2" s="1"/>
  <c r="AP40" i="2" s="1"/>
  <c r="AQ40" i="2" s="1"/>
  <c r="AR40" i="2" l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BJ40" i="2" s="1"/>
  <c r="BK40" i="2" s="1"/>
  <c r="BL40" i="2" s="1"/>
  <c r="BM40" i="2" s="1"/>
  <c r="BN40" i="2" s="1"/>
  <c r="BO40" i="2" s="1"/>
  <c r="BP40" i="2" s="1"/>
  <c r="BQ40" i="2" s="1"/>
  <c r="BR40" i="2" s="1"/>
  <c r="BS40" i="2" s="1"/>
  <c r="BT40" i="2" s="1"/>
  <c r="BU40" i="2" s="1"/>
  <c r="BV40" i="2" s="1"/>
  <c r="BW40" i="2" s="1"/>
  <c r="BX40" i="2" s="1"/>
  <c r="BY40" i="2" s="1"/>
  <c r="BZ40" i="2" s="1"/>
  <c r="CA40" i="2" s="1"/>
  <c r="CB40" i="2" s="1"/>
  <c r="CC40" i="2" s="1"/>
  <c r="CD40" i="2" s="1"/>
  <c r="CE40" i="2" s="1"/>
  <c r="CF40" i="2" s="1"/>
  <c r="CG40" i="2" s="1"/>
  <c r="CH40" i="2" s="1"/>
  <c r="CI40" i="2" s="1"/>
  <c r="CJ40" i="2" s="1"/>
  <c r="CK40" i="2" s="1"/>
  <c r="CL40" i="2" s="1"/>
  <c r="CM40" i="2" s="1"/>
  <c r="CN40" i="2" s="1"/>
  <c r="CO40" i="2" s="1"/>
  <c r="CP40" i="2" s="1"/>
  <c r="CQ40" i="2" s="1"/>
  <c r="CR40" i="2" s="1"/>
  <c r="CS40" i="2" s="1"/>
  <c r="CT40" i="2" s="1"/>
  <c r="CU40" i="2" s="1"/>
  <c r="CV40" i="2" s="1"/>
  <c r="CW40" i="2" s="1"/>
  <c r="CX40" i="2" s="1"/>
  <c r="CY40" i="2" s="1"/>
  <c r="CZ40" i="2" s="1"/>
  <c r="DA40" i="2" s="1"/>
  <c r="DB40" i="2" s="1"/>
  <c r="DC40" i="2" s="1"/>
  <c r="DD40" i="2" s="1"/>
  <c r="DE40" i="2" s="1"/>
  <c r="DF40" i="2" s="1"/>
  <c r="DG40" i="2" s="1"/>
  <c r="DH40" i="2" s="1"/>
  <c r="DI40" i="2" s="1"/>
  <c r="DJ40" i="2" s="1"/>
  <c r="DK40" i="2" s="1"/>
  <c r="DL40" i="2" s="1"/>
  <c r="DM40" i="2" s="1"/>
  <c r="DN40" i="2" s="1"/>
  <c r="DO40" i="2" s="1"/>
  <c r="DP40" i="2" s="1"/>
  <c r="DQ40" i="2" s="1"/>
  <c r="DR40" i="2" s="1"/>
  <c r="DS40" i="2" s="1"/>
  <c r="DT40" i="2" s="1"/>
  <c r="DU40" i="2" s="1"/>
  <c r="DV40" i="2" s="1"/>
  <c r="DW40" i="2" s="1"/>
  <c r="DX40" i="2" s="1"/>
  <c r="DY40" i="2" s="1"/>
  <c r="DZ40" i="2" s="1"/>
  <c r="EA40" i="2" s="1"/>
  <c r="EB40" i="2" s="1"/>
  <c r="EC40" i="2" s="1"/>
  <c r="ED40" i="2" s="1"/>
  <c r="EE40" i="2" s="1"/>
  <c r="EF40" i="2" s="1"/>
  <c r="EG40" i="2" s="1"/>
  <c r="EH40" i="2" s="1"/>
  <c r="EI40" i="2" s="1"/>
  <c r="EJ40" i="2" s="1"/>
  <c r="EK40" i="2" s="1"/>
  <c r="EL40" i="2" s="1"/>
  <c r="EM40" i="2" s="1"/>
  <c r="EN40" i="2" s="1"/>
  <c r="EO40" i="2" s="1"/>
  <c r="EP40" i="2" s="1"/>
  <c r="EQ40" i="2" s="1"/>
  <c r="ER40" i="2" s="1"/>
  <c r="ES40" i="2" s="1"/>
  <c r="ET40" i="2" s="1"/>
  <c r="EU40" i="2" s="1"/>
  <c r="EV40" i="2" s="1"/>
  <c r="EW40" i="2" s="1"/>
  <c r="EX40" i="2" s="1"/>
  <c r="EY40" i="2" s="1"/>
  <c r="EZ40" i="2" s="1"/>
  <c r="FA40" i="2" s="1"/>
  <c r="FB40" i="2" s="1"/>
  <c r="FC40" i="2" s="1"/>
  <c r="FD40" i="2" s="1"/>
  <c r="FE40" i="2" s="1"/>
  <c r="FF40" i="2" s="1"/>
  <c r="FG40" i="2" s="1"/>
  <c r="FH40" i="2" s="1"/>
  <c r="FI40" i="2" s="1"/>
  <c r="FJ40" i="2" s="1"/>
  <c r="FK40" i="2" s="1"/>
  <c r="FL40" i="2" s="1"/>
  <c r="FM40" i="2" s="1"/>
  <c r="AP50" i="2"/>
  <c r="AP34" i="2"/>
  <c r="AQ33" i="2"/>
  <c r="AR33" i="2" l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O33" i="2" s="1"/>
  <c r="DP33" i="2" s="1"/>
  <c r="DQ33" i="2" s="1"/>
  <c r="DR33" i="2" s="1"/>
  <c r="DS33" i="2" s="1"/>
  <c r="DT33" i="2" s="1"/>
  <c r="DU33" i="2" s="1"/>
  <c r="DV33" i="2" s="1"/>
  <c r="DW33" i="2" s="1"/>
  <c r="DX33" i="2" s="1"/>
  <c r="DY33" i="2" s="1"/>
  <c r="DZ33" i="2" s="1"/>
  <c r="EA33" i="2" s="1"/>
  <c r="EB33" i="2" s="1"/>
  <c r="EC33" i="2" s="1"/>
  <c r="ED33" i="2" s="1"/>
  <c r="EE33" i="2" s="1"/>
  <c r="EF33" i="2" s="1"/>
  <c r="EG33" i="2" s="1"/>
  <c r="EH33" i="2" s="1"/>
  <c r="EI33" i="2" s="1"/>
  <c r="EJ33" i="2" s="1"/>
  <c r="EK33" i="2" s="1"/>
  <c r="EL33" i="2" s="1"/>
  <c r="EM33" i="2" s="1"/>
  <c r="EN33" i="2" s="1"/>
  <c r="EO33" i="2" s="1"/>
  <c r="EP33" i="2" s="1"/>
  <c r="EQ33" i="2" s="1"/>
  <c r="ER33" i="2" s="1"/>
  <c r="ES33" i="2" s="1"/>
  <c r="ET33" i="2" s="1"/>
  <c r="EU33" i="2" s="1"/>
  <c r="EV33" i="2" s="1"/>
  <c r="EW33" i="2" s="1"/>
  <c r="EX33" i="2" s="1"/>
  <c r="EY33" i="2" s="1"/>
  <c r="EZ33" i="2" s="1"/>
  <c r="FA33" i="2" s="1"/>
  <c r="AV49" i="2" l="1"/>
  <c r="AV50" i="2" s="1"/>
</calcChain>
</file>

<file path=xl/sharedStrings.xml><?xml version="1.0" encoding="utf-8"?>
<sst xmlns="http://schemas.openxmlformats.org/spreadsheetml/2006/main" count="143" uniqueCount="131">
  <si>
    <t>Bayer Cropscience</t>
  </si>
  <si>
    <t>BAYERCROP</t>
  </si>
  <si>
    <t>Notes</t>
  </si>
  <si>
    <t>Price</t>
  </si>
  <si>
    <t>Shares</t>
  </si>
  <si>
    <t>Market Cap</t>
  </si>
  <si>
    <t>Debt</t>
  </si>
  <si>
    <t>Cash</t>
  </si>
  <si>
    <t>EV</t>
  </si>
  <si>
    <t>Management</t>
  </si>
  <si>
    <t>mns</t>
  </si>
  <si>
    <t>Q324</t>
  </si>
  <si>
    <t>IS</t>
  </si>
  <si>
    <t>Operating Revenue</t>
  </si>
  <si>
    <t>Other</t>
  </si>
  <si>
    <t>Revenue</t>
  </si>
  <si>
    <t>COMS</t>
  </si>
  <si>
    <t>Gross Profit</t>
  </si>
  <si>
    <t>Stock purchases</t>
  </si>
  <si>
    <t>Inv</t>
  </si>
  <si>
    <t>EBE</t>
  </si>
  <si>
    <t>FC</t>
  </si>
  <si>
    <t>D&amp;A</t>
  </si>
  <si>
    <t>Operating Profit</t>
  </si>
  <si>
    <t>Exceptional</t>
  </si>
  <si>
    <t>Pretax Income</t>
  </si>
  <si>
    <t>Tax</t>
  </si>
  <si>
    <t>Net Income</t>
  </si>
  <si>
    <t>EPS</t>
  </si>
  <si>
    <t>Q224</t>
  </si>
  <si>
    <t>Q124</t>
  </si>
  <si>
    <t>Q423</t>
  </si>
  <si>
    <t>Q323</t>
  </si>
  <si>
    <t>Q223</t>
  </si>
  <si>
    <t>Q123</t>
  </si>
  <si>
    <t>Q422</t>
  </si>
  <si>
    <t>Q322</t>
  </si>
  <si>
    <t>Q222</t>
  </si>
  <si>
    <t>Revenue growth</t>
  </si>
  <si>
    <t>Gross Margin</t>
  </si>
  <si>
    <t>Q424</t>
  </si>
  <si>
    <t>Q425</t>
  </si>
  <si>
    <t>Q125</t>
  </si>
  <si>
    <t>Q225</t>
  </si>
  <si>
    <t>Q325</t>
  </si>
  <si>
    <t>FY24</t>
  </si>
  <si>
    <t>FY23</t>
  </si>
  <si>
    <t>FY22</t>
  </si>
  <si>
    <t>FY21</t>
  </si>
  <si>
    <t>FY20</t>
  </si>
  <si>
    <t>FY19</t>
  </si>
  <si>
    <t>FY18</t>
  </si>
  <si>
    <t>FY17</t>
  </si>
  <si>
    <t>FY16</t>
  </si>
  <si>
    <t>FY15</t>
  </si>
  <si>
    <t>FY14</t>
  </si>
  <si>
    <t>BS</t>
  </si>
  <si>
    <t>I</t>
  </si>
  <si>
    <t>Investments</t>
  </si>
  <si>
    <t>TR</t>
  </si>
  <si>
    <t>BB</t>
  </si>
  <si>
    <t>OFA</t>
  </si>
  <si>
    <t>Oth</t>
  </si>
  <si>
    <t>CA</t>
  </si>
  <si>
    <t>PPE</t>
  </si>
  <si>
    <t>CWIP</t>
  </si>
  <si>
    <t>Investmet prop</t>
  </si>
  <si>
    <t>Intangible</t>
  </si>
  <si>
    <t>Intan UD</t>
  </si>
  <si>
    <t>TA</t>
  </si>
  <si>
    <t>DTA</t>
  </si>
  <si>
    <t>NCA</t>
  </si>
  <si>
    <t>A</t>
  </si>
  <si>
    <t>LL</t>
  </si>
  <si>
    <t>TP</t>
  </si>
  <si>
    <t>Provisions</t>
  </si>
  <si>
    <t>CTL</t>
  </si>
  <si>
    <t>CL</t>
  </si>
  <si>
    <t>DTL</t>
  </si>
  <si>
    <t>NCL</t>
  </si>
  <si>
    <t>SE</t>
  </si>
  <si>
    <t>L</t>
  </si>
  <si>
    <t>L+SE</t>
  </si>
  <si>
    <t>Net Cash</t>
  </si>
  <si>
    <t>Tax Rate</t>
  </si>
  <si>
    <t>SG&amp;A/Sales</t>
  </si>
  <si>
    <t>SG&amp;A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</si>
  <si>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</si>
  <si>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</si>
  <si>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</si>
  <si>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</si>
  <si>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</si>
  <si>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</si>
  <si>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</si>
  <si>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</si>
  <si>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</si>
  <si>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</si>
  <si>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</si>
  <si>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Terminal</t>
  </si>
  <si>
    <t>ROIC</t>
  </si>
  <si>
    <t>Discount</t>
  </si>
  <si>
    <t>NPV</t>
  </si>
  <si>
    <t>Difference</t>
  </si>
  <si>
    <t>Revenue Breakdown</t>
  </si>
  <si>
    <t>Sale of Goods</t>
  </si>
  <si>
    <t>Recoveries</t>
  </si>
  <si>
    <t>Scrap</t>
  </si>
  <si>
    <t>Royalty income</t>
  </si>
  <si>
    <t>Tolling Income</t>
  </si>
  <si>
    <t>Operating Rev</t>
  </si>
  <si>
    <t>Export Incentives</t>
  </si>
  <si>
    <t>Excise Duty</t>
  </si>
  <si>
    <t>% growth</t>
  </si>
  <si>
    <t>% sales</t>
  </si>
  <si>
    <t>Chair/ ID</t>
  </si>
  <si>
    <t>Pankaj Patel</t>
  </si>
  <si>
    <t>D Narain</t>
  </si>
  <si>
    <t>VC, MD, CEO</t>
  </si>
  <si>
    <t>CFO</t>
  </si>
  <si>
    <t>Simon Britsch</t>
  </si>
  <si>
    <t>Borrowings</t>
  </si>
  <si>
    <t>OFL</t>
  </si>
  <si>
    <t>EBIAT</t>
  </si>
  <si>
    <t>Cash flow</t>
  </si>
  <si>
    <t>CAPEX</t>
  </si>
  <si>
    <t>change in NWC</t>
  </si>
  <si>
    <t>FCF</t>
  </si>
  <si>
    <t>NWC</t>
  </si>
  <si>
    <t>D&amp;A/Sales</t>
  </si>
  <si>
    <t>CAPEX/Sales</t>
  </si>
  <si>
    <t>NWC/Sales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</si>
</sst>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26">
    <xf numFmtId="0" fontId="0" fillId="0" borderId="0" xfId="0"/>
    <xf numFmtId="0" fontId="3" fillId="0" borderId="0" xfId="0" applyFon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4" fillId="0" borderId="0" xfId="0" applyFont="1" applyAlignment="1">
      <alignment horizontal="right"/>
    </xf>
    <xf numFmtId="3" fontId="4" fillId="0" borderId="0" xfId="0" applyNumberFormat="1" applyFont="1"/>
    <xf numFmtId="4" fontId="0" fillId="0" borderId="0" xfId="0" applyNumberFormat="1"/>
    <xf numFmtId="9" fontId="0" fillId="0" borderId="0" xfId="1" applyFont="1"/>
    <xf numFmtId="3" fontId="2" fillId="2" borderId="1" xfId="2" applyNumberFormat="1"/>
    <xf numFmtId="9" fontId="2" fillId="2" borderId="1" xfId="1" applyFont="1" applyFill="1" applyBorder="1"/>
    <xf numFmtId="9" fontId="2" fillId="2" borderId="1" xfId="2" applyNumberFormat="1"/>
    <xf numFmtId="3" fontId="2" fillId="2" borderId="1" xfId="1" applyNumberFormat="1" applyFont="1" applyFill="1" applyBorder="1"/>
    <xf numFmtId="164" fontId="4" fillId="0" borderId="0" xfId="0" applyNumberFormat="1" applyFont="1"/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right"/>
    </xf>
    <xf numFmtId="9" fontId="6" fillId="2" borderId="1" xfId="2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10" fontId="6" fillId="2" borderId="1" xfId="2" applyNumberFormat="1" applyFont="1" applyAlignment="1">
      <alignment horizontal="right"/>
    </xf>
    <xf numFmtId="9" fontId="5" fillId="0" borderId="0" xfId="1" applyFont="1"/>
    <xf numFmtId="3" fontId="2" fillId="2" borderId="1" xfId="2" applyNumberFormat="1" applyAlignment="1">
      <alignment horizontal="right"/>
    </xf>
    <xf numFmtId="9" fontId="5" fillId="0" borderId="0" xfId="1" applyFont="1" applyAlignment="1">
      <alignment horizontal="right"/>
    </xf>
    <xf numFmtId="10" fontId="5" fillId="0" borderId="0" xfId="1" applyNumberFormat="1" applyFont="1"/>
  </cellXfs>
  <cellStyles count="3">
    <cellStyle name="Input" xfId="2" builtinId="20"/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</xdr:colOff>
      <xdr:row>0</xdr:row>
      <xdr:rowOff>0</xdr:rowOff>
    </xdr:from>
    <xdr:to>
      <xdr:col>13</xdr:col>
      <xdr:colOff>4762</xdr:colOff>
      <xdr:row>96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F3A62F3-272A-55A3-8446-9F4056F4CE42}"/>
            </a:ext>
          </a:extLst>
        </xdr:cNvPr>
        <xdr:cNvCxnSpPr/>
      </xdr:nvCxnSpPr>
      <xdr:spPr>
        <a:xfrm>
          <a:off x="9415462" y="0"/>
          <a:ext cx="0" cy="14097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0</xdr:row>
      <xdr:rowOff>0</xdr:rowOff>
    </xdr:from>
    <xdr:to>
      <xdr:col>30</xdr:col>
      <xdr:colOff>0</xdr:colOff>
      <xdr:row>63</xdr:row>
      <xdr:rowOff>4763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77CBCD0-9D77-6078-D9CA-5E9B98C208C8}"/>
            </a:ext>
          </a:extLst>
        </xdr:cNvPr>
        <xdr:cNvCxnSpPr/>
      </xdr:nvCxnSpPr>
      <xdr:spPr>
        <a:xfrm>
          <a:off x="21131213" y="0"/>
          <a:ext cx="0" cy="83296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B28ED-CCA7-4F03-889B-94A05F85FBF6}">
  <dimension ref="B2:H17"/>
  <sheetViews>
    <sheetView workbookViewId="0">
      <selection activeCell="H9" sqref="H9"/>
    </sheetView>
  </sheetViews>
  <sheetFormatPr defaultRowHeight="14.25" x14ac:dyDescent="0.45"/>
  <cols>
    <col min="7" max="7" width="10.86328125" bestFit="1" customWidth="1"/>
    <col min="8" max="8" width="10.59765625" bestFit="1" customWidth="1"/>
  </cols>
  <sheetData>
    <row r="2" spans="2:8" x14ac:dyDescent="0.45">
      <c r="H2" s="4" t="s">
        <v>10</v>
      </c>
    </row>
    <row r="3" spans="2:8" x14ac:dyDescent="0.45">
      <c r="B3" s="1" t="s">
        <v>0</v>
      </c>
      <c r="G3" t="s">
        <v>3</v>
      </c>
      <c r="H3" s="2">
        <v>5352.15</v>
      </c>
    </row>
    <row r="4" spans="2:8" x14ac:dyDescent="0.45">
      <c r="B4" t="s">
        <v>1</v>
      </c>
      <c r="G4" t="s">
        <v>4</v>
      </c>
      <c r="H4" s="3">
        <f>44942092/1000000</f>
        <v>44.942092000000002</v>
      </c>
    </row>
    <row r="5" spans="2:8" x14ac:dyDescent="0.45">
      <c r="G5" t="s">
        <v>5</v>
      </c>
      <c r="H5" s="3">
        <f>H3*H4</f>
        <v>240536.8176978</v>
      </c>
    </row>
    <row r="6" spans="2:8" x14ac:dyDescent="0.45">
      <c r="G6" t="s">
        <v>6</v>
      </c>
      <c r="H6" s="3">
        <v>0</v>
      </c>
    </row>
    <row r="7" spans="2:8" x14ac:dyDescent="0.45">
      <c r="G7" t="s">
        <v>7</v>
      </c>
      <c r="H7" s="3">
        <f>8608+72</f>
        <v>8680</v>
      </c>
    </row>
    <row r="8" spans="2:8" x14ac:dyDescent="0.45">
      <c r="G8" t="s">
        <v>8</v>
      </c>
      <c r="H8" s="3">
        <f>H5-H7+H6</f>
        <v>231856.8176978</v>
      </c>
    </row>
    <row r="13" spans="2:8" x14ac:dyDescent="0.45">
      <c r="B13" s="1" t="s">
        <v>2</v>
      </c>
      <c r="G13" s="1" t="s">
        <v>9</v>
      </c>
    </row>
    <row r="14" spans="2:8" x14ac:dyDescent="0.45">
      <c r="G14" s="1" t="s">
        <v>114</v>
      </c>
      <c r="H14" t="s">
        <v>115</v>
      </c>
    </row>
    <row r="15" spans="2:8" x14ac:dyDescent="0.45">
      <c r="G15" s="1" t="s">
        <v>117</v>
      </c>
      <c r="H15" t="s">
        <v>116</v>
      </c>
    </row>
    <row r="16" spans="2:8" x14ac:dyDescent="0.45">
      <c r="G16" s="1" t="s">
        <v>118</v>
      </c>
      <c r="H16" t="s">
        <v>119</v>
      </c>
    </row>
    <row r="17" spans="7:7" x14ac:dyDescent="0.45">
      <c r="G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1352-29B1-40F1-A952-6152F15DD9D2}">
  <dimension ref="A1:FM90"/>
  <sheetViews>
    <sheetView tabSelected="1" zoomScaleNormal="100" workbookViewId="0">
      <pane xSplit="2" ySplit="2" topLeftCell="AM29" activePane="bottomRight" state="frozen"/>
      <selection pane="topRight" activeCell="C1" sqref="C1"/>
      <selection pane="bottomLeft" activeCell="A3" sqref="A3"/>
      <selection pane="bottomRight" activeCell="AU52" sqref="AU52"/>
    </sheetView>
  </sheetViews>
  <sheetFormatPr defaultColWidth="9" defaultRowHeight="14.25" x14ac:dyDescent="0.45"/>
  <cols>
    <col min="1" max="1" width="9.1328125" customWidth="1"/>
    <col min="2" max="2" width="17.73046875" bestFit="1" customWidth="1"/>
    <col min="3" max="3" width="9" style="3"/>
    <col min="4" max="18" width="10.73046875" style="3" bestFit="1" customWidth="1"/>
    <col min="19" max="20" width="9" style="3"/>
    <col min="21" max="30" width="10.73046875" style="3" bestFit="1" customWidth="1"/>
    <col min="31" max="46" width="9" style="3"/>
    <col min="47" max="47" width="10.3984375" style="3" bestFit="1" customWidth="1"/>
    <col min="48" max="48" width="11.1328125" style="3" bestFit="1" customWidth="1"/>
    <col min="49" max="16384" width="9" style="3"/>
  </cols>
  <sheetData>
    <row r="1" spans="2:42" customFormat="1" x14ac:dyDescent="0.45">
      <c r="C1" s="3"/>
      <c r="D1" s="5">
        <v>44469</v>
      </c>
      <c r="E1" s="5">
        <v>44561</v>
      </c>
      <c r="F1" s="5">
        <v>44651</v>
      </c>
      <c r="G1" s="5">
        <v>44742</v>
      </c>
      <c r="H1" s="5">
        <v>44834</v>
      </c>
      <c r="I1" s="5">
        <v>45291</v>
      </c>
      <c r="J1" s="5">
        <v>45016</v>
      </c>
      <c r="K1" s="5">
        <v>45107</v>
      </c>
      <c r="L1" s="5">
        <v>45199</v>
      </c>
      <c r="M1" s="5">
        <v>45291</v>
      </c>
      <c r="N1" s="5">
        <v>45382</v>
      </c>
      <c r="O1" s="5">
        <v>45473</v>
      </c>
      <c r="P1" s="5">
        <v>45565</v>
      </c>
      <c r="Q1" s="5">
        <v>45657</v>
      </c>
      <c r="R1" s="5">
        <v>45747</v>
      </c>
      <c r="U1" s="5">
        <v>41729</v>
      </c>
      <c r="V1" s="5">
        <v>42094</v>
      </c>
      <c r="W1" s="5">
        <v>42460</v>
      </c>
      <c r="X1" s="5">
        <v>42825</v>
      </c>
      <c r="Y1" s="5">
        <v>43190</v>
      </c>
      <c r="Z1" s="5">
        <v>43555</v>
      </c>
      <c r="AA1" s="5">
        <v>43921</v>
      </c>
      <c r="AB1" s="5">
        <v>44286</v>
      </c>
      <c r="AC1" s="5">
        <v>44651</v>
      </c>
      <c r="AD1" s="5">
        <v>45016</v>
      </c>
      <c r="AE1">
        <f>1</f>
        <v>1</v>
      </c>
      <c r="AF1">
        <f>AE1+1</f>
        <v>2</v>
      </c>
      <c r="AG1">
        <f t="shared" ref="AG1:AP1" si="0">AF1+1</f>
        <v>3</v>
      </c>
      <c r="AH1">
        <f t="shared" si="0"/>
        <v>4</v>
      </c>
      <c r="AI1">
        <f t="shared" si="0"/>
        <v>5</v>
      </c>
      <c r="AJ1">
        <f t="shared" si="0"/>
        <v>6</v>
      </c>
      <c r="AK1">
        <f t="shared" si="0"/>
        <v>7</v>
      </c>
      <c r="AL1">
        <f t="shared" si="0"/>
        <v>8</v>
      </c>
      <c r="AM1">
        <f t="shared" si="0"/>
        <v>9</v>
      </c>
      <c r="AN1">
        <f t="shared" si="0"/>
        <v>10</v>
      </c>
      <c r="AO1">
        <f t="shared" si="0"/>
        <v>11</v>
      </c>
      <c r="AP1">
        <f t="shared" si="0"/>
        <v>12</v>
      </c>
    </row>
    <row r="2" spans="2:42" customFormat="1" x14ac:dyDescent="0.45">
      <c r="C2" s="3"/>
      <c r="D2" s="4" t="s">
        <v>37</v>
      </c>
      <c r="E2" s="4" t="s">
        <v>36</v>
      </c>
      <c r="F2" s="4" t="s">
        <v>35</v>
      </c>
      <c r="G2" s="4" t="s">
        <v>34</v>
      </c>
      <c r="H2" s="4" t="s">
        <v>33</v>
      </c>
      <c r="I2" s="4" t="s">
        <v>32</v>
      </c>
      <c r="J2" s="4" t="s">
        <v>31</v>
      </c>
      <c r="K2" s="4" t="s">
        <v>30</v>
      </c>
      <c r="L2" s="4" t="s">
        <v>29</v>
      </c>
      <c r="M2" s="4" t="s">
        <v>11</v>
      </c>
      <c r="N2" s="4" t="s">
        <v>40</v>
      </c>
      <c r="O2" s="4" t="s">
        <v>42</v>
      </c>
      <c r="P2" s="4" t="s">
        <v>43</v>
      </c>
      <c r="Q2" s="4" t="s">
        <v>44</v>
      </c>
      <c r="R2" s="4" t="s">
        <v>41</v>
      </c>
      <c r="U2" s="4" t="s">
        <v>55</v>
      </c>
      <c r="V2" s="4" t="s">
        <v>54</v>
      </c>
      <c r="W2" s="4" t="s">
        <v>53</v>
      </c>
      <c r="X2" s="4" t="s">
        <v>52</v>
      </c>
      <c r="Y2" s="4" t="s">
        <v>51</v>
      </c>
      <c r="Z2" s="4" t="s">
        <v>50</v>
      </c>
      <c r="AA2" s="4" t="s">
        <v>49</v>
      </c>
      <c r="AB2" s="4" t="s">
        <v>48</v>
      </c>
      <c r="AC2" s="4" t="s">
        <v>47</v>
      </c>
      <c r="AD2" s="4" t="s">
        <v>46</v>
      </c>
      <c r="AE2" s="4" t="s">
        <v>45</v>
      </c>
      <c r="AF2" s="4" t="s">
        <v>87</v>
      </c>
      <c r="AG2" s="4" t="s">
        <v>88</v>
      </c>
      <c r="AH2" s="4" t="s">
        <v>89</v>
      </c>
      <c r="AI2" s="4" t="s">
        <v>90</v>
      </c>
      <c r="AJ2" s="4" t="s">
        <v>91</v>
      </c>
      <c r="AK2" s="4" t="s">
        <v>92</v>
      </c>
      <c r="AL2" s="4" t="s">
        <v>93</v>
      </c>
      <c r="AM2" s="4" t="s">
        <v>94</v>
      </c>
      <c r="AN2" s="4" t="s">
        <v>95</v>
      </c>
      <c r="AO2" s="4" t="s">
        <v>96</v>
      </c>
      <c r="AP2" s="4" t="s">
        <v>97</v>
      </c>
    </row>
    <row r="3" spans="2:42" customFormat="1" x14ac:dyDescent="0.45">
      <c r="B3" s="6" t="s">
        <v>103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2:42" customFormat="1" x14ac:dyDescent="0.45">
      <c r="B4" s="4" t="s">
        <v>104</v>
      </c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3"/>
      <c r="U4" s="17">
        <v>33002</v>
      </c>
      <c r="V4" s="17">
        <v>37949</v>
      </c>
      <c r="W4" s="17">
        <v>28054</v>
      </c>
      <c r="X4" s="17">
        <v>28634</v>
      </c>
      <c r="Y4" s="17">
        <v>26502</v>
      </c>
      <c r="Z4" s="17">
        <v>26021</v>
      </c>
      <c r="AA4" s="17">
        <v>35190</v>
      </c>
      <c r="AB4" s="17">
        <v>41428</v>
      </c>
      <c r="AC4" s="17">
        <v>45767</v>
      </c>
      <c r="AD4" s="17">
        <v>49449</v>
      </c>
      <c r="AE4" s="17">
        <f>AE14-1900</f>
        <v>52202.35</v>
      </c>
      <c r="AF4" s="17">
        <f>AF14-1900</f>
        <v>54825.312500000007</v>
      </c>
      <c r="AG4" s="17">
        <f>AF4*(1+AG5)</f>
        <v>59211.337500000009</v>
      </c>
      <c r="AH4" s="17">
        <f t="shared" ref="AH4:AP4" si="1">AG4*(1+AH5)</f>
        <v>63948.244500000015</v>
      </c>
      <c r="AI4" s="17">
        <f t="shared" si="1"/>
        <v>69064.104060000027</v>
      </c>
      <c r="AJ4" s="17">
        <f t="shared" si="1"/>
        <v>74589.232384800038</v>
      </c>
      <c r="AK4" s="17">
        <f t="shared" si="1"/>
        <v>80556.370975584039</v>
      </c>
      <c r="AL4" s="17">
        <f t="shared" si="1"/>
        <v>87000.880653630767</v>
      </c>
      <c r="AM4" s="17">
        <f t="shared" si="1"/>
        <v>93960.951105921238</v>
      </c>
      <c r="AN4" s="17">
        <f t="shared" si="1"/>
        <v>101477.82719439494</v>
      </c>
      <c r="AO4" s="17">
        <f t="shared" si="1"/>
        <v>109596.05336994654</v>
      </c>
      <c r="AP4" s="17">
        <f t="shared" si="1"/>
        <v>118363.73763954228</v>
      </c>
    </row>
    <row r="5" spans="2:42" customFormat="1" x14ac:dyDescent="0.45">
      <c r="B5" s="18" t="s">
        <v>112</v>
      </c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T5" s="3"/>
      <c r="U5" s="17"/>
      <c r="V5" s="24">
        <f>V4/U4-1</f>
        <v>0.14990000606023868</v>
      </c>
      <c r="W5" s="24">
        <f t="shared" ref="W5:AF5" si="2">W4/V4-1</f>
        <v>-0.2607446836543782</v>
      </c>
      <c r="X5" s="24">
        <f t="shared" si="2"/>
        <v>2.067441363085476E-2</v>
      </c>
      <c r="Y5" s="24">
        <f t="shared" si="2"/>
        <v>-7.4456939302926628E-2</v>
      </c>
      <c r="Z5" s="24">
        <f t="shared" si="2"/>
        <v>-1.8149573617085468E-2</v>
      </c>
      <c r="AA5" s="24">
        <f t="shared" si="2"/>
        <v>0.3523692402290457</v>
      </c>
      <c r="AB5" s="24">
        <f t="shared" si="2"/>
        <v>0.17726626882637109</v>
      </c>
      <c r="AC5" s="24">
        <f t="shared" si="2"/>
        <v>0.10473592739210202</v>
      </c>
      <c r="AD5" s="24">
        <f t="shared" si="2"/>
        <v>8.0450979963729408E-2</v>
      </c>
      <c r="AE5" s="24">
        <f t="shared" si="2"/>
        <v>5.5680600214362164E-2</v>
      </c>
      <c r="AF5" s="24">
        <f t="shared" si="2"/>
        <v>5.0246061719443791E-2</v>
      </c>
      <c r="AG5" s="19">
        <v>0.08</v>
      </c>
      <c r="AH5" s="20">
        <f>AG5</f>
        <v>0.08</v>
      </c>
      <c r="AI5" s="20">
        <f t="shared" ref="AI5:AP5" si="3">AH5</f>
        <v>0.08</v>
      </c>
      <c r="AJ5" s="20">
        <f t="shared" si="3"/>
        <v>0.08</v>
      </c>
      <c r="AK5" s="20">
        <f t="shared" si="3"/>
        <v>0.08</v>
      </c>
      <c r="AL5" s="20">
        <f t="shared" si="3"/>
        <v>0.08</v>
      </c>
      <c r="AM5" s="20">
        <f t="shared" si="3"/>
        <v>0.08</v>
      </c>
      <c r="AN5" s="20">
        <f t="shared" si="3"/>
        <v>0.08</v>
      </c>
      <c r="AO5" s="20">
        <f t="shared" si="3"/>
        <v>0.08</v>
      </c>
      <c r="AP5" s="20">
        <f t="shared" si="3"/>
        <v>0.08</v>
      </c>
    </row>
    <row r="6" spans="2:42" customFormat="1" x14ac:dyDescent="0.45">
      <c r="B6" s="4" t="s">
        <v>105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T6" s="3"/>
      <c r="U6" s="17">
        <v>726</v>
      </c>
      <c r="V6" s="17">
        <v>923</v>
      </c>
      <c r="W6" s="17">
        <v>835</v>
      </c>
      <c r="X6" s="17">
        <v>845</v>
      </c>
      <c r="Y6" s="17">
        <v>984</v>
      </c>
      <c r="Z6" s="17">
        <v>832</v>
      </c>
      <c r="AA6" s="17">
        <v>800</v>
      </c>
      <c r="AB6" s="17">
        <v>1070</v>
      </c>
      <c r="AC6" s="17">
        <v>1446</v>
      </c>
      <c r="AD6" s="17">
        <v>1827</v>
      </c>
      <c r="AE6" s="4"/>
      <c r="AF6" s="4"/>
      <c r="AG6" s="17">
        <f>AG4*AG7</f>
        <v>2368.4535000000005</v>
      </c>
      <c r="AH6" s="17">
        <f t="shared" ref="AH6:AP6" si="4">AH4*AH7</f>
        <v>2557.9297800000008</v>
      </c>
      <c r="AI6" s="17">
        <f t="shared" si="4"/>
        <v>2762.5641624000014</v>
      </c>
      <c r="AJ6" s="17">
        <f t="shared" si="4"/>
        <v>2983.5692953920015</v>
      </c>
      <c r="AK6" s="17">
        <f t="shared" si="4"/>
        <v>3222.2548390233615</v>
      </c>
      <c r="AL6" s="17">
        <f t="shared" si="4"/>
        <v>3480.0352261452308</v>
      </c>
      <c r="AM6" s="17">
        <f t="shared" si="4"/>
        <v>3758.4380442368497</v>
      </c>
      <c r="AN6" s="17">
        <f t="shared" si="4"/>
        <v>4059.1130877757973</v>
      </c>
      <c r="AO6" s="17">
        <f t="shared" si="4"/>
        <v>4383.8421347978619</v>
      </c>
      <c r="AP6" s="17">
        <f t="shared" si="4"/>
        <v>4734.5495055816909</v>
      </c>
    </row>
    <row r="7" spans="2:42" customFormat="1" x14ac:dyDescent="0.45">
      <c r="B7" s="18" t="s">
        <v>113</v>
      </c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T7" s="3"/>
      <c r="U7" s="24">
        <f>U6/U4</f>
        <v>2.199866674746985E-2</v>
      </c>
      <c r="V7" s="24">
        <f t="shared" ref="V7:AD7" si="5">V6/V4</f>
        <v>2.4322116524809614E-2</v>
      </c>
      <c r="W7" s="24">
        <f t="shared" si="5"/>
        <v>2.9764026520282313E-2</v>
      </c>
      <c r="X7" s="24">
        <f t="shared" si="5"/>
        <v>2.9510372284696516E-2</v>
      </c>
      <c r="Y7" s="24">
        <f t="shared" si="5"/>
        <v>3.712927326239529E-2</v>
      </c>
      <c r="Z7" s="24">
        <f t="shared" si="5"/>
        <v>3.1974174705045925E-2</v>
      </c>
      <c r="AA7" s="24">
        <f t="shared" si="5"/>
        <v>2.2733731173628872E-2</v>
      </c>
      <c r="AB7" s="24">
        <f t="shared" si="5"/>
        <v>2.582794245437868E-2</v>
      </c>
      <c r="AC7" s="24">
        <f t="shared" si="5"/>
        <v>3.1594817226385824E-2</v>
      </c>
      <c r="AD7" s="24">
        <f t="shared" si="5"/>
        <v>3.6947157677607229E-2</v>
      </c>
      <c r="AE7" s="4"/>
      <c r="AF7" s="4"/>
      <c r="AG7" s="19">
        <v>0.04</v>
      </c>
      <c r="AH7" s="20">
        <f>AG7</f>
        <v>0.04</v>
      </c>
      <c r="AI7" s="20">
        <f t="shared" ref="AI7:AP7" si="6">AH7</f>
        <v>0.04</v>
      </c>
      <c r="AJ7" s="20">
        <f t="shared" si="6"/>
        <v>0.04</v>
      </c>
      <c r="AK7" s="20">
        <f t="shared" si="6"/>
        <v>0.04</v>
      </c>
      <c r="AL7" s="20">
        <f t="shared" si="6"/>
        <v>0.04</v>
      </c>
      <c r="AM7" s="20">
        <f t="shared" si="6"/>
        <v>0.04</v>
      </c>
      <c r="AN7" s="20">
        <f t="shared" si="6"/>
        <v>0.04</v>
      </c>
      <c r="AO7" s="20">
        <f t="shared" si="6"/>
        <v>0.04</v>
      </c>
      <c r="AP7" s="20">
        <f t="shared" si="6"/>
        <v>0.04</v>
      </c>
    </row>
    <row r="8" spans="2:42" x14ac:dyDescent="0.45">
      <c r="B8" s="4" t="s">
        <v>106</v>
      </c>
      <c r="U8" s="3">
        <v>17</v>
      </c>
      <c r="V8" s="3">
        <v>9</v>
      </c>
      <c r="W8" s="3">
        <v>5</v>
      </c>
      <c r="X8" s="3">
        <v>5</v>
      </c>
      <c r="Y8" s="3">
        <v>4</v>
      </c>
      <c r="Z8" s="3">
        <v>4</v>
      </c>
      <c r="AA8" s="3">
        <v>71</v>
      </c>
      <c r="AB8" s="3">
        <v>84</v>
      </c>
      <c r="AC8" s="3">
        <v>102</v>
      </c>
      <c r="AD8" s="3">
        <v>96</v>
      </c>
      <c r="AG8" s="3">
        <f>AG4*AG9</f>
        <v>118.42267500000003</v>
      </c>
      <c r="AH8" s="3">
        <f t="shared" ref="AH8:AP8" si="7">AH4*AH9</f>
        <v>127.89648900000003</v>
      </c>
      <c r="AI8" s="3">
        <f t="shared" si="7"/>
        <v>138.12820812000007</v>
      </c>
      <c r="AJ8" s="3">
        <f t="shared" si="7"/>
        <v>149.17846476960008</v>
      </c>
      <c r="AK8" s="3">
        <f t="shared" si="7"/>
        <v>161.11274195116809</v>
      </c>
      <c r="AL8" s="3">
        <f t="shared" si="7"/>
        <v>174.00176130726155</v>
      </c>
      <c r="AM8" s="3">
        <f t="shared" si="7"/>
        <v>187.92190221184248</v>
      </c>
      <c r="AN8" s="3">
        <f t="shared" si="7"/>
        <v>202.95565438878987</v>
      </c>
      <c r="AO8" s="3">
        <f t="shared" si="7"/>
        <v>219.19210673989309</v>
      </c>
      <c r="AP8" s="3">
        <f t="shared" si="7"/>
        <v>236.72747527908456</v>
      </c>
    </row>
    <row r="9" spans="2:42" x14ac:dyDescent="0.45">
      <c r="B9" s="4" t="s">
        <v>113</v>
      </c>
      <c r="U9" s="25">
        <f>U8/U4</f>
        <v>5.1512029573965216E-4</v>
      </c>
      <c r="V9" s="25">
        <f t="shared" ref="V9:AD9" si="8">V8/V4</f>
        <v>2.3716039948351735E-4</v>
      </c>
      <c r="W9" s="25">
        <f t="shared" si="8"/>
        <v>1.7822770371426534E-4</v>
      </c>
      <c r="X9" s="25">
        <f t="shared" si="8"/>
        <v>1.7461758748341132E-4</v>
      </c>
      <c r="Y9" s="25">
        <f t="shared" si="8"/>
        <v>1.5093200513168818E-4</v>
      </c>
      <c r="Z9" s="25">
        <f t="shared" si="8"/>
        <v>1.5372199377425925E-4</v>
      </c>
      <c r="AA9" s="25">
        <f t="shared" si="8"/>
        <v>2.0176186416595624E-3</v>
      </c>
      <c r="AB9" s="25">
        <f t="shared" si="8"/>
        <v>2.0276141739886066E-3</v>
      </c>
      <c r="AC9" s="25">
        <f t="shared" si="8"/>
        <v>2.2286800533135227E-3</v>
      </c>
      <c r="AD9" s="25">
        <f t="shared" si="8"/>
        <v>1.9413941636837954E-3</v>
      </c>
      <c r="AG9" s="21">
        <f>0.2%</f>
        <v>2E-3</v>
      </c>
      <c r="AH9" s="22">
        <f>AG9</f>
        <v>2E-3</v>
      </c>
      <c r="AI9" s="22">
        <f t="shared" ref="AI9:AP9" si="9">AH9</f>
        <v>2E-3</v>
      </c>
      <c r="AJ9" s="22">
        <f t="shared" si="9"/>
        <v>2E-3</v>
      </c>
      <c r="AK9" s="22">
        <f t="shared" si="9"/>
        <v>2E-3</v>
      </c>
      <c r="AL9" s="22">
        <f t="shared" si="9"/>
        <v>2E-3</v>
      </c>
      <c r="AM9" s="22">
        <f t="shared" si="9"/>
        <v>2E-3</v>
      </c>
      <c r="AN9" s="22">
        <f t="shared" si="9"/>
        <v>2E-3</v>
      </c>
      <c r="AO9" s="22">
        <f t="shared" si="9"/>
        <v>2E-3</v>
      </c>
      <c r="AP9" s="22">
        <f t="shared" si="9"/>
        <v>2E-3</v>
      </c>
    </row>
    <row r="10" spans="2:42" x14ac:dyDescent="0.45">
      <c r="B10" s="4" t="s">
        <v>107</v>
      </c>
      <c r="AA10" s="3">
        <v>24</v>
      </c>
      <c r="AB10" s="3">
        <v>23</v>
      </c>
      <c r="AC10" s="3">
        <v>19</v>
      </c>
      <c r="AD10" s="3">
        <v>16</v>
      </c>
      <c r="AG10" s="23">
        <v>20</v>
      </c>
      <c r="AH10" s="3">
        <f>AG10</f>
        <v>20</v>
      </c>
      <c r="AI10" s="3">
        <f t="shared" ref="AI10:AP10" si="10">AH10</f>
        <v>20</v>
      </c>
      <c r="AJ10" s="3">
        <f t="shared" si="10"/>
        <v>20</v>
      </c>
      <c r="AK10" s="3">
        <f t="shared" si="10"/>
        <v>20</v>
      </c>
      <c r="AL10" s="3">
        <f t="shared" si="10"/>
        <v>20</v>
      </c>
      <c r="AM10" s="3">
        <f t="shared" si="10"/>
        <v>20</v>
      </c>
      <c r="AN10" s="3">
        <f t="shared" si="10"/>
        <v>20</v>
      </c>
      <c r="AO10" s="3">
        <f t="shared" si="10"/>
        <v>20</v>
      </c>
      <c r="AP10" s="3">
        <f t="shared" si="10"/>
        <v>20</v>
      </c>
    </row>
    <row r="11" spans="2:42" x14ac:dyDescent="0.45">
      <c r="B11" s="4" t="s">
        <v>110</v>
      </c>
      <c r="U11" s="3">
        <v>37</v>
      </c>
      <c r="V11" s="3">
        <v>123</v>
      </c>
    </row>
    <row r="12" spans="2:42" x14ac:dyDescent="0.45">
      <c r="B12" s="4" t="s">
        <v>108</v>
      </c>
      <c r="U12" s="3">
        <v>210</v>
      </c>
      <c r="V12" s="3">
        <v>25</v>
      </c>
      <c r="AA12" s="3">
        <v>9</v>
      </c>
      <c r="AB12" s="3">
        <v>8</v>
      </c>
      <c r="AC12" s="3">
        <v>10</v>
      </c>
      <c r="AD12" s="3">
        <v>9</v>
      </c>
      <c r="AG12" s="23">
        <v>10</v>
      </c>
      <c r="AH12" s="3">
        <f>AG12</f>
        <v>10</v>
      </c>
      <c r="AI12" s="3">
        <f t="shared" ref="AI12:AP12" si="11">AH12</f>
        <v>10</v>
      </c>
      <c r="AJ12" s="3">
        <f t="shared" si="11"/>
        <v>10</v>
      </c>
      <c r="AK12" s="3">
        <f t="shared" si="11"/>
        <v>10</v>
      </c>
      <c r="AL12" s="3">
        <f t="shared" si="11"/>
        <v>10</v>
      </c>
      <c r="AM12" s="3">
        <f t="shared" si="11"/>
        <v>10</v>
      </c>
      <c r="AN12" s="3">
        <f t="shared" si="11"/>
        <v>10</v>
      </c>
      <c r="AO12" s="3">
        <f t="shared" si="11"/>
        <v>10</v>
      </c>
      <c r="AP12" s="3">
        <f t="shared" si="11"/>
        <v>10</v>
      </c>
    </row>
    <row r="13" spans="2:42" x14ac:dyDescent="0.45">
      <c r="B13" s="4" t="s">
        <v>111</v>
      </c>
      <c r="U13" s="3">
        <v>-1540</v>
      </c>
      <c r="V13" s="3">
        <v>-1796</v>
      </c>
    </row>
    <row r="14" spans="2:42" x14ac:dyDescent="0.45">
      <c r="B14" s="6" t="s">
        <v>109</v>
      </c>
      <c r="U14" s="7">
        <f>SUM(U4:U13)</f>
        <v>32452.022513787044</v>
      </c>
      <c r="V14" s="7">
        <f>SUM(V4:V13)</f>
        <v>37233.174459282978</v>
      </c>
      <c r="W14" s="7">
        <f t="shared" ref="W14:AD14" si="12">SUM(W4:W12)</f>
        <v>28893.769197570567</v>
      </c>
      <c r="X14" s="7">
        <f t="shared" si="12"/>
        <v>29484.050359403504</v>
      </c>
      <c r="Y14" s="7">
        <f t="shared" si="12"/>
        <v>27489.962823265967</v>
      </c>
      <c r="Z14" s="7">
        <f t="shared" si="12"/>
        <v>26857.013978323081</v>
      </c>
      <c r="AA14" s="7">
        <f t="shared" si="12"/>
        <v>36094.377120590048</v>
      </c>
      <c r="AB14" s="7">
        <f t="shared" si="12"/>
        <v>42613.205121825449</v>
      </c>
      <c r="AC14" s="7">
        <f t="shared" si="12"/>
        <v>47344.138559424675</v>
      </c>
      <c r="AD14" s="7">
        <f t="shared" si="12"/>
        <v>51397.119339531804</v>
      </c>
      <c r="AE14" s="7">
        <f>AE19</f>
        <v>54102.35</v>
      </c>
      <c r="AF14" s="7">
        <f>AF19</f>
        <v>56725.312500000007</v>
      </c>
      <c r="AG14" s="7">
        <f>AG12+AG10+AG8+AG6+AG4</f>
        <v>61728.213675000006</v>
      </c>
      <c r="AH14" s="7">
        <f t="shared" ref="AH14:AP14" si="13">AH12+AH10+AH8+AH6+AH4</f>
        <v>66664.070769000013</v>
      </c>
      <c r="AI14" s="7">
        <f t="shared" si="13"/>
        <v>71994.796430520029</v>
      </c>
      <c r="AJ14" s="7">
        <f t="shared" si="13"/>
        <v>77751.980144961635</v>
      </c>
      <c r="AK14" s="7">
        <f t="shared" si="13"/>
        <v>83969.738556558572</v>
      </c>
      <c r="AL14" s="7">
        <f t="shared" si="13"/>
        <v>90684.917641083259</v>
      </c>
      <c r="AM14" s="7">
        <f t="shared" si="13"/>
        <v>97937.311052369929</v>
      </c>
      <c r="AN14" s="7">
        <f t="shared" si="13"/>
        <v>105769.89593655952</v>
      </c>
      <c r="AO14" s="7">
        <f t="shared" si="13"/>
        <v>114229.0876114843</v>
      </c>
      <c r="AP14" s="7">
        <f t="shared" si="13"/>
        <v>123365.01462040305</v>
      </c>
    </row>
    <row r="16" spans="2:42" x14ac:dyDescent="0.45">
      <c r="B16" s="6" t="s">
        <v>12</v>
      </c>
    </row>
    <row r="17" spans="2:42" x14ac:dyDescent="0.45">
      <c r="B17" s="4" t="s">
        <v>13</v>
      </c>
      <c r="D17" s="3">
        <v>13651</v>
      </c>
      <c r="E17" s="3">
        <v>9901</v>
      </c>
      <c r="F17" s="3">
        <v>9633</v>
      </c>
      <c r="G17" s="3">
        <v>16674</v>
      </c>
      <c r="H17" s="3">
        <v>14519</v>
      </c>
      <c r="I17" s="3">
        <v>10379</v>
      </c>
      <c r="J17" s="3">
        <v>9825</v>
      </c>
      <c r="K17" s="3">
        <v>17396</v>
      </c>
      <c r="L17" s="3">
        <v>16172</v>
      </c>
      <c r="M17" s="3">
        <v>9549</v>
      </c>
      <c r="N17" s="3">
        <f>J17*(1+$N$42)</f>
        <v>10316.25</v>
      </c>
      <c r="O17" s="3">
        <f>K17*(1+$N$42)</f>
        <v>18265.8</v>
      </c>
      <c r="P17" s="3">
        <f>L17*(1+$N$42)</f>
        <v>16980.600000000002</v>
      </c>
      <c r="Q17" s="3">
        <f>M17*(1+$N$42)</f>
        <v>10026.450000000001</v>
      </c>
      <c r="R17" s="3">
        <f>N17*(1+$N$42)</f>
        <v>10832.0625</v>
      </c>
      <c r="U17" s="3">
        <v>32452</v>
      </c>
      <c r="V17" s="3">
        <v>37233</v>
      </c>
      <c r="W17" s="3">
        <v>28894</v>
      </c>
      <c r="X17" s="3">
        <v>29484</v>
      </c>
      <c r="Y17" s="3">
        <v>27490</v>
      </c>
      <c r="Z17" s="3">
        <v>26857</v>
      </c>
      <c r="AA17" s="3">
        <v>36094</v>
      </c>
      <c r="AB17" s="3">
        <v>42613</v>
      </c>
      <c r="AC17" s="3">
        <v>47344</v>
      </c>
      <c r="AD17" s="3">
        <f>SUM(G17:J17)</f>
        <v>51397</v>
      </c>
      <c r="AE17" s="3">
        <f>SUM(K17:N17)</f>
        <v>53433.25</v>
      </c>
      <c r="AF17" s="3">
        <f>SUM(O17:R17)</f>
        <v>56104.912500000006</v>
      </c>
      <c r="AG17" s="3">
        <f>AG14</f>
        <v>61728.213675000006</v>
      </c>
      <c r="AH17" s="3">
        <f t="shared" ref="AH17:AP17" si="14">AH14</f>
        <v>66664.070769000013</v>
      </c>
      <c r="AI17" s="3">
        <f t="shared" si="14"/>
        <v>71994.796430520029</v>
      </c>
      <c r="AJ17" s="3">
        <f t="shared" si="14"/>
        <v>77751.980144961635</v>
      </c>
      <c r="AK17" s="3">
        <f t="shared" si="14"/>
        <v>83969.738556558572</v>
      </c>
      <c r="AL17" s="3">
        <f t="shared" si="14"/>
        <v>90684.917641083259</v>
      </c>
      <c r="AM17" s="3">
        <f t="shared" si="14"/>
        <v>97937.311052369929</v>
      </c>
      <c r="AN17" s="3">
        <f t="shared" si="14"/>
        <v>105769.89593655952</v>
      </c>
      <c r="AO17" s="3">
        <f t="shared" si="14"/>
        <v>114229.0876114843</v>
      </c>
      <c r="AP17" s="3">
        <f t="shared" si="14"/>
        <v>123365.01462040305</v>
      </c>
    </row>
    <row r="18" spans="2:42" x14ac:dyDescent="0.45">
      <c r="B18" s="4" t="s">
        <v>14</v>
      </c>
      <c r="D18" s="3">
        <v>143</v>
      </c>
      <c r="E18" s="3">
        <v>98</v>
      </c>
      <c r="F18" s="3">
        <v>157</v>
      </c>
      <c r="G18" s="3">
        <v>142</v>
      </c>
      <c r="H18" s="3">
        <v>138</v>
      </c>
      <c r="I18" s="3">
        <v>152</v>
      </c>
      <c r="J18" s="3">
        <v>207</v>
      </c>
      <c r="K18" s="3">
        <v>207</v>
      </c>
      <c r="L18" s="3">
        <v>161</v>
      </c>
      <c r="M18" s="3">
        <v>146</v>
      </c>
      <c r="N18" s="15">
        <f>AVERAGE(D18:M18)</f>
        <v>155.1</v>
      </c>
      <c r="O18" s="3">
        <f>N18</f>
        <v>155.1</v>
      </c>
      <c r="P18" s="3">
        <f t="shared" ref="P18:R18" si="15">O18</f>
        <v>155.1</v>
      </c>
      <c r="Q18" s="3">
        <f t="shared" si="15"/>
        <v>155.1</v>
      </c>
      <c r="R18" s="3">
        <f t="shared" si="15"/>
        <v>155.1</v>
      </c>
      <c r="U18" s="3">
        <v>909</v>
      </c>
      <c r="V18" s="3">
        <v>879</v>
      </c>
      <c r="W18" s="3">
        <v>817</v>
      </c>
      <c r="X18" s="3">
        <v>701</v>
      </c>
      <c r="Y18" s="3">
        <v>388</v>
      </c>
      <c r="Z18" s="3">
        <v>372</v>
      </c>
      <c r="AA18" s="3">
        <v>660</v>
      </c>
      <c r="AB18" s="3">
        <v>638</v>
      </c>
      <c r="AC18" s="3">
        <v>546</v>
      </c>
      <c r="AD18" s="3">
        <f>SUM(G18:J18)</f>
        <v>639</v>
      </c>
      <c r="AE18" s="3">
        <f>SUM(K18:N18)</f>
        <v>669.1</v>
      </c>
      <c r="AF18" s="3">
        <f>SUM(O18:R18)</f>
        <v>620.4</v>
      </c>
      <c r="AG18" s="3">
        <f t="shared" ref="AG18:AP18" si="16">AF50*$AV$46</f>
        <v>320.11099802257951</v>
      </c>
      <c r="AH18" s="3">
        <f t="shared" si="16"/>
        <v>459.71972853688027</v>
      </c>
      <c r="AI18" s="3">
        <f t="shared" si="16"/>
        <v>616.34190636446647</v>
      </c>
      <c r="AJ18" s="3">
        <f t="shared" si="16"/>
        <v>791.81882401193729</v>
      </c>
      <c r="AK18" s="3">
        <f t="shared" si="16"/>
        <v>988.17832143437124</v>
      </c>
      <c r="AL18" s="3">
        <f t="shared" si="16"/>
        <v>1207.6529400358529</v>
      </c>
      <c r="AM18" s="3">
        <f t="shared" si="16"/>
        <v>1452.6997949188371</v>
      </c>
      <c r="AN18" s="3">
        <f t="shared" si="16"/>
        <v>1726.0223247488811</v>
      </c>
      <c r="AO18" s="3">
        <f t="shared" si="16"/>
        <v>2030.5940931559219</v>
      </c>
      <c r="AP18" s="3">
        <f t="shared" si="16"/>
        <v>2369.6848314611225</v>
      </c>
    </row>
    <row r="19" spans="2:42" x14ac:dyDescent="0.45">
      <c r="B19" s="6" t="s">
        <v>15</v>
      </c>
      <c r="D19" s="7">
        <f>D18+D17</f>
        <v>13794</v>
      </c>
      <c r="E19" s="7">
        <f t="shared" ref="E19:K19" si="17">E18+E17</f>
        <v>9999</v>
      </c>
      <c r="F19" s="7">
        <f t="shared" si="17"/>
        <v>9790</v>
      </c>
      <c r="G19" s="7">
        <f t="shared" si="17"/>
        <v>16816</v>
      </c>
      <c r="H19" s="7">
        <f t="shared" si="17"/>
        <v>14657</v>
      </c>
      <c r="I19" s="7">
        <f t="shared" si="17"/>
        <v>10531</v>
      </c>
      <c r="J19" s="7">
        <f t="shared" si="17"/>
        <v>10032</v>
      </c>
      <c r="K19" s="7">
        <f t="shared" si="17"/>
        <v>17603</v>
      </c>
      <c r="L19" s="7">
        <f>L18+L17</f>
        <v>16333</v>
      </c>
      <c r="M19" s="7">
        <f>M18+M17</f>
        <v>9695</v>
      </c>
      <c r="N19" s="7">
        <f>N18+N17</f>
        <v>10471.35</v>
      </c>
      <c r="O19" s="7">
        <f t="shared" ref="O19:R19" si="18">O18+O17</f>
        <v>18420.899999999998</v>
      </c>
      <c r="P19" s="7">
        <f t="shared" si="18"/>
        <v>17135.7</v>
      </c>
      <c r="Q19" s="7">
        <f t="shared" si="18"/>
        <v>10181.550000000001</v>
      </c>
      <c r="R19" s="7">
        <f t="shared" si="18"/>
        <v>10987.1625</v>
      </c>
      <c r="U19" s="7">
        <f>U17+U18</f>
        <v>33361</v>
      </c>
      <c r="V19" s="7">
        <f t="shared" ref="V19:AC19" si="19">V17+V18</f>
        <v>38112</v>
      </c>
      <c r="W19" s="7">
        <f t="shared" si="19"/>
        <v>29711</v>
      </c>
      <c r="X19" s="7">
        <f t="shared" si="19"/>
        <v>30185</v>
      </c>
      <c r="Y19" s="7">
        <f t="shared" si="19"/>
        <v>27878</v>
      </c>
      <c r="Z19" s="7">
        <f t="shared" si="19"/>
        <v>27229</v>
      </c>
      <c r="AA19" s="7">
        <f t="shared" si="19"/>
        <v>36754</v>
      </c>
      <c r="AB19" s="7">
        <f t="shared" si="19"/>
        <v>43251</v>
      </c>
      <c r="AC19" s="7">
        <f t="shared" si="19"/>
        <v>47890</v>
      </c>
      <c r="AD19" s="7">
        <f>AD17+AD18</f>
        <v>52036</v>
      </c>
      <c r="AE19" s="7">
        <f t="shared" ref="AE19:AF19" si="20">AE17+AE18</f>
        <v>54102.35</v>
      </c>
      <c r="AF19" s="7">
        <f t="shared" si="20"/>
        <v>56725.312500000007</v>
      </c>
      <c r="AG19" s="7">
        <f>AG17+AG18</f>
        <v>62048.324673022587</v>
      </c>
      <c r="AH19" s="7">
        <f t="shared" ref="AH19:AP19" si="21">AH17+AH18</f>
        <v>67123.790497536887</v>
      </c>
      <c r="AI19" s="7">
        <f t="shared" si="21"/>
        <v>72611.138336884498</v>
      </c>
      <c r="AJ19" s="7">
        <f t="shared" si="21"/>
        <v>78543.79896897357</v>
      </c>
      <c r="AK19" s="7">
        <f t="shared" si="21"/>
        <v>84957.916877992946</v>
      </c>
      <c r="AL19" s="7">
        <f t="shared" si="21"/>
        <v>91892.570581119115</v>
      </c>
      <c r="AM19" s="7">
        <f t="shared" si="21"/>
        <v>99390.010847288766</v>
      </c>
      <c r="AN19" s="7">
        <f t="shared" si="21"/>
        <v>107495.9182613084</v>
      </c>
      <c r="AO19" s="7">
        <f t="shared" si="21"/>
        <v>116259.68170464021</v>
      </c>
      <c r="AP19" s="7">
        <f t="shared" si="21"/>
        <v>125734.69945186417</v>
      </c>
    </row>
    <row r="20" spans="2:42" x14ac:dyDescent="0.45">
      <c r="B20" s="4" t="s">
        <v>16</v>
      </c>
      <c r="D20" s="3">
        <v>7022</v>
      </c>
      <c r="E20" s="3">
        <v>4585</v>
      </c>
      <c r="F20" s="3">
        <v>6573</v>
      </c>
      <c r="G20" s="3">
        <v>8759</v>
      </c>
      <c r="H20" s="3">
        <v>5887</v>
      </c>
      <c r="I20" s="3">
        <v>4270</v>
      </c>
      <c r="J20" s="3">
        <v>6502</v>
      </c>
      <c r="K20" s="3">
        <v>8967</v>
      </c>
      <c r="L20" s="3">
        <v>9342</v>
      </c>
      <c r="M20" s="3">
        <v>3639</v>
      </c>
      <c r="U20" s="3">
        <v>6919</v>
      </c>
      <c r="V20" s="3">
        <v>8616</v>
      </c>
      <c r="W20" s="3">
        <v>15044</v>
      </c>
      <c r="X20" s="3">
        <v>15892</v>
      </c>
      <c r="Y20" s="3">
        <v>12250</v>
      </c>
      <c r="Z20" s="3">
        <v>13832</v>
      </c>
      <c r="AA20" s="3">
        <v>17514</v>
      </c>
      <c r="AB20" s="3">
        <v>24840</v>
      </c>
      <c r="AC20" s="3">
        <v>25779</v>
      </c>
      <c r="AD20" s="3">
        <f>SUM(G20:J20)</f>
        <v>25418</v>
      </c>
    </row>
    <row r="21" spans="2:42" x14ac:dyDescent="0.45">
      <c r="B21" s="6" t="s">
        <v>17</v>
      </c>
      <c r="D21" s="7">
        <f>D19-D20</f>
        <v>6772</v>
      </c>
      <c r="E21" s="7">
        <f t="shared" ref="E21:K21" si="22">E19-E20</f>
        <v>5414</v>
      </c>
      <c r="F21" s="7">
        <f t="shared" si="22"/>
        <v>3217</v>
      </c>
      <c r="G21" s="7">
        <f t="shared" si="22"/>
        <v>8057</v>
      </c>
      <c r="H21" s="7">
        <f t="shared" si="22"/>
        <v>8770</v>
      </c>
      <c r="I21" s="7">
        <f t="shared" si="22"/>
        <v>6261</v>
      </c>
      <c r="J21" s="7">
        <f t="shared" si="22"/>
        <v>3530</v>
      </c>
      <c r="K21" s="7">
        <f t="shared" si="22"/>
        <v>8636</v>
      </c>
      <c r="L21" s="7">
        <f>L19-L20</f>
        <v>6991</v>
      </c>
      <c r="M21" s="7">
        <f>M19-M20</f>
        <v>6056</v>
      </c>
      <c r="N21" s="7">
        <f>N19*$N$43</f>
        <v>6282.81</v>
      </c>
      <c r="O21" s="7">
        <f>O19*$N$43</f>
        <v>11052.539999999999</v>
      </c>
      <c r="P21" s="7">
        <f>P19*$N$43</f>
        <v>10281.42</v>
      </c>
      <c r="Q21" s="7">
        <f>Q19*$N$43</f>
        <v>6108.93</v>
      </c>
      <c r="R21" s="7">
        <f>R19*$N$43</f>
        <v>6592.2974999999997</v>
      </c>
      <c r="U21" s="7">
        <f>U19-U20</f>
        <v>26442</v>
      </c>
      <c r="V21" s="7">
        <f t="shared" ref="V21:AC21" si="23">V19-V20</f>
        <v>29496</v>
      </c>
      <c r="W21" s="7">
        <f t="shared" si="23"/>
        <v>14667</v>
      </c>
      <c r="X21" s="7">
        <f t="shared" si="23"/>
        <v>14293</v>
      </c>
      <c r="Y21" s="7">
        <f t="shared" si="23"/>
        <v>15628</v>
      </c>
      <c r="Z21" s="7">
        <f t="shared" si="23"/>
        <v>13397</v>
      </c>
      <c r="AA21" s="7">
        <f t="shared" si="23"/>
        <v>19240</v>
      </c>
      <c r="AB21" s="7">
        <f t="shared" si="23"/>
        <v>18411</v>
      </c>
      <c r="AC21" s="7">
        <f t="shared" si="23"/>
        <v>22111</v>
      </c>
      <c r="AD21" s="7">
        <f>AD19-AD20</f>
        <v>26618</v>
      </c>
      <c r="AE21" s="7">
        <f>SUM(K21:N21)</f>
        <v>27965.81</v>
      </c>
      <c r="AF21" s="7">
        <f>SUM(O21:R21)</f>
        <v>34035.1875</v>
      </c>
      <c r="AG21" s="7">
        <f t="shared" ref="AG21:AP21" si="24">AG19*$AG$43</f>
        <v>37228.994803813548</v>
      </c>
      <c r="AH21" s="7">
        <f t="shared" si="24"/>
        <v>40274.274298522134</v>
      </c>
      <c r="AI21" s="7">
        <f t="shared" si="24"/>
        <v>43566.683002130696</v>
      </c>
      <c r="AJ21" s="7">
        <f t="shared" si="24"/>
        <v>47126.279381384142</v>
      </c>
      <c r="AK21" s="7">
        <f t="shared" si="24"/>
        <v>50974.750126795763</v>
      </c>
      <c r="AL21" s="7">
        <f t="shared" si="24"/>
        <v>55135.542348671464</v>
      </c>
      <c r="AM21" s="7">
        <f t="shared" si="24"/>
        <v>59634.006508373255</v>
      </c>
      <c r="AN21" s="7">
        <f t="shared" si="24"/>
        <v>64497.550956785039</v>
      </c>
      <c r="AO21" s="7">
        <f t="shared" si="24"/>
        <v>69755.809022784131</v>
      </c>
      <c r="AP21" s="7">
        <f t="shared" si="24"/>
        <v>75440.819671118501</v>
      </c>
    </row>
    <row r="22" spans="2:42" x14ac:dyDescent="0.45">
      <c r="B22" s="4" t="s">
        <v>18</v>
      </c>
      <c r="D22" s="3">
        <v>411</v>
      </c>
      <c r="E22" s="3">
        <v>336</v>
      </c>
      <c r="F22" s="3">
        <v>686</v>
      </c>
      <c r="G22" s="3">
        <v>667</v>
      </c>
      <c r="H22" s="3">
        <v>731</v>
      </c>
      <c r="I22" s="3">
        <v>504</v>
      </c>
      <c r="J22" s="3">
        <v>871</v>
      </c>
      <c r="K22" s="3">
        <v>577</v>
      </c>
      <c r="L22" s="3">
        <v>333</v>
      </c>
      <c r="M22" s="3">
        <v>173</v>
      </c>
      <c r="U22" s="3">
        <v>14074</v>
      </c>
      <c r="V22" s="3">
        <v>15571</v>
      </c>
      <c r="W22" s="3">
        <v>1099</v>
      </c>
      <c r="X22" s="3">
        <v>1614</v>
      </c>
      <c r="Y22" s="3">
        <v>3106</v>
      </c>
      <c r="Z22" s="3">
        <v>1059</v>
      </c>
      <c r="AA22" s="3">
        <v>993</v>
      </c>
      <c r="AB22" s="3">
        <v>1398</v>
      </c>
      <c r="AC22" s="3">
        <v>2304</v>
      </c>
      <c r="AD22" s="3">
        <f>SUM(G22:J22)</f>
        <v>2773</v>
      </c>
    </row>
    <row r="23" spans="2:42" x14ac:dyDescent="0.45">
      <c r="B23" s="4" t="s">
        <v>19</v>
      </c>
      <c r="D23" s="3">
        <v>926</v>
      </c>
      <c r="E23" s="3">
        <v>728</v>
      </c>
      <c r="F23" s="3">
        <v>-2487</v>
      </c>
      <c r="G23" s="3">
        <v>-832</v>
      </c>
      <c r="H23" s="3">
        <v>2185</v>
      </c>
      <c r="I23" s="3">
        <v>1176</v>
      </c>
      <c r="J23" s="3">
        <v>-2560</v>
      </c>
      <c r="K23" s="3">
        <v>429</v>
      </c>
      <c r="L23" s="3">
        <v>416</v>
      </c>
      <c r="M23" s="3">
        <v>1472</v>
      </c>
      <c r="U23" s="3">
        <v>-85</v>
      </c>
      <c r="V23" s="3">
        <v>-51</v>
      </c>
      <c r="W23" s="3">
        <v>-316</v>
      </c>
      <c r="X23" s="3">
        <v>-1045</v>
      </c>
      <c r="Y23" s="3">
        <v>650</v>
      </c>
      <c r="Z23" s="3">
        <v>-27</v>
      </c>
      <c r="AA23" s="3">
        <v>591</v>
      </c>
      <c r="AB23" s="3">
        <v>-1779</v>
      </c>
      <c r="AC23" s="3">
        <v>-1441</v>
      </c>
      <c r="AD23" s="3">
        <f t="shared" ref="AD23:AD27" si="25">SUM(G23:J23)</f>
        <v>-31</v>
      </c>
    </row>
    <row r="24" spans="2:42" x14ac:dyDescent="0.45">
      <c r="B24" s="4" t="s">
        <v>20</v>
      </c>
      <c r="D24" s="3">
        <v>1001</v>
      </c>
      <c r="E24" s="3">
        <v>1407</v>
      </c>
      <c r="F24" s="3">
        <v>1153</v>
      </c>
      <c r="G24" s="3">
        <v>1261</v>
      </c>
      <c r="H24" s="3">
        <v>1287</v>
      </c>
      <c r="I24" s="3">
        <v>1475</v>
      </c>
      <c r="J24" s="3">
        <v>1320</v>
      </c>
      <c r="K24" s="3">
        <v>933</v>
      </c>
      <c r="L24" s="3">
        <v>1008</v>
      </c>
      <c r="M24" s="3">
        <v>1139</v>
      </c>
      <c r="U24" s="3">
        <v>2040</v>
      </c>
      <c r="V24" s="3">
        <v>2269</v>
      </c>
      <c r="W24" s="3">
        <v>2207</v>
      </c>
      <c r="X24" s="3">
        <v>2451</v>
      </c>
      <c r="Y24" s="3">
        <v>2639</v>
      </c>
      <c r="Z24" s="3">
        <v>3212</v>
      </c>
      <c r="AA24" s="3">
        <v>3616</v>
      </c>
      <c r="AB24" s="3">
        <v>3622</v>
      </c>
      <c r="AC24" s="3">
        <v>4631</v>
      </c>
      <c r="AD24" s="3">
        <f t="shared" si="25"/>
        <v>5343</v>
      </c>
    </row>
    <row r="25" spans="2:42" x14ac:dyDescent="0.45">
      <c r="B25" s="4" t="s">
        <v>21</v>
      </c>
      <c r="D25" s="3">
        <v>23</v>
      </c>
      <c r="E25" s="3">
        <v>26</v>
      </c>
      <c r="F25" s="3">
        <v>55</v>
      </c>
      <c r="G25" s="3">
        <v>41</v>
      </c>
      <c r="H25" s="3">
        <v>75</v>
      </c>
      <c r="I25" s="3">
        <v>34</v>
      </c>
      <c r="J25" s="3">
        <v>73</v>
      </c>
      <c r="K25" s="3">
        <v>79</v>
      </c>
      <c r="L25" s="3">
        <v>37</v>
      </c>
      <c r="M25" s="3">
        <v>31</v>
      </c>
      <c r="U25" s="3">
        <v>48</v>
      </c>
      <c r="V25" s="3">
        <v>46</v>
      </c>
      <c r="W25" s="3">
        <v>100</v>
      </c>
      <c r="X25" s="3">
        <v>69</v>
      </c>
      <c r="Y25" s="3">
        <v>113</v>
      </c>
      <c r="Z25" s="3">
        <v>99</v>
      </c>
      <c r="AA25" s="3">
        <v>138</v>
      </c>
      <c r="AB25" s="3">
        <v>126</v>
      </c>
      <c r="AC25" s="3">
        <v>129</v>
      </c>
      <c r="AD25" s="3">
        <f t="shared" si="25"/>
        <v>223</v>
      </c>
    </row>
    <row r="26" spans="2:42" x14ac:dyDescent="0.45">
      <c r="B26" s="4" t="s">
        <v>22</v>
      </c>
      <c r="D26" s="3">
        <v>143</v>
      </c>
      <c r="E26" s="3">
        <v>142</v>
      </c>
      <c r="F26" s="3">
        <v>214</v>
      </c>
      <c r="G26" s="3">
        <v>229</v>
      </c>
      <c r="H26" s="3">
        <v>152</v>
      </c>
      <c r="I26" s="3">
        <v>143</v>
      </c>
      <c r="J26" s="3">
        <v>271</v>
      </c>
      <c r="K26" s="3">
        <v>313</v>
      </c>
      <c r="L26" s="3">
        <v>116</v>
      </c>
      <c r="M26" s="3">
        <v>152</v>
      </c>
      <c r="U26" s="3">
        <v>646</v>
      </c>
      <c r="V26" s="3">
        <v>253</v>
      </c>
      <c r="W26" s="3">
        <v>247</v>
      </c>
      <c r="X26" s="3">
        <v>289</v>
      </c>
      <c r="Y26" s="3">
        <v>331</v>
      </c>
      <c r="Z26" s="3">
        <v>342</v>
      </c>
      <c r="AA26" s="3">
        <v>653</v>
      </c>
      <c r="AB26" s="3">
        <v>735</v>
      </c>
      <c r="AC26" s="3">
        <v>645</v>
      </c>
      <c r="AD26" s="3">
        <f t="shared" si="25"/>
        <v>795</v>
      </c>
      <c r="AE26" s="3">
        <f>AE19*$AE$46</f>
        <v>1082.047</v>
      </c>
      <c r="AF26" s="3">
        <f t="shared" ref="AF26:AP26" si="26">AF19*$AE$46</f>
        <v>1134.5062500000001</v>
      </c>
      <c r="AG26" s="3">
        <f t="shared" si="26"/>
        <v>1240.9664934604518</v>
      </c>
      <c r="AH26" s="3">
        <f t="shared" si="26"/>
        <v>1342.4758099507378</v>
      </c>
      <c r="AI26" s="3">
        <f t="shared" si="26"/>
        <v>1452.2227667376899</v>
      </c>
      <c r="AJ26" s="3">
        <f t="shared" si="26"/>
        <v>1570.8759793794713</v>
      </c>
      <c r="AK26" s="3">
        <f t="shared" si="26"/>
        <v>1699.1583375598589</v>
      </c>
      <c r="AL26" s="3">
        <f t="shared" si="26"/>
        <v>1837.8514116223823</v>
      </c>
      <c r="AM26" s="3">
        <f t="shared" si="26"/>
        <v>1987.8002169457754</v>
      </c>
      <c r="AN26" s="3">
        <f t="shared" si="26"/>
        <v>2149.9183652261681</v>
      </c>
      <c r="AO26" s="3">
        <f t="shared" si="26"/>
        <v>2325.1936340928041</v>
      </c>
      <c r="AP26" s="3">
        <f t="shared" si="26"/>
        <v>2514.6939890372837</v>
      </c>
    </row>
    <row r="27" spans="2:42" x14ac:dyDescent="0.45">
      <c r="B27" s="4" t="s">
        <v>14</v>
      </c>
      <c r="D27" s="3">
        <v>2073</v>
      </c>
      <c r="E27" s="3">
        <v>2182</v>
      </c>
      <c r="F27" s="3">
        <v>1701</v>
      </c>
      <c r="G27" s="3">
        <v>2868</v>
      </c>
      <c r="H27" s="3">
        <v>2050</v>
      </c>
      <c r="I27" s="3">
        <v>2100</v>
      </c>
      <c r="J27" s="3">
        <v>1634</v>
      </c>
      <c r="K27" s="3">
        <v>2244</v>
      </c>
      <c r="L27" s="3">
        <v>2024</v>
      </c>
      <c r="M27" s="3">
        <v>1847</v>
      </c>
      <c r="U27" s="3">
        <v>5311</v>
      </c>
      <c r="V27" s="3">
        <v>5673</v>
      </c>
      <c r="W27" s="3">
        <f>5310+1204</f>
        <v>6514</v>
      </c>
      <c r="X27" s="3">
        <f>4980+1456</f>
        <v>6436</v>
      </c>
      <c r="Y27" s="3">
        <f>4360+391</f>
        <v>4751</v>
      </c>
      <c r="Z27" s="3">
        <v>5049</v>
      </c>
      <c r="AA27" s="3">
        <v>6116</v>
      </c>
      <c r="AB27" s="3">
        <v>6415</v>
      </c>
      <c r="AC27" s="3">
        <v>7960</v>
      </c>
      <c r="AD27" s="3">
        <f t="shared" si="25"/>
        <v>8652</v>
      </c>
    </row>
    <row r="28" spans="2:42" x14ac:dyDescent="0.45">
      <c r="B28" s="6" t="s">
        <v>86</v>
      </c>
      <c r="D28" s="7">
        <f>SUM(D22:D27)</f>
        <v>4577</v>
      </c>
      <c r="E28" s="7">
        <f t="shared" ref="E28:M28" si="27">SUM(E22:E27)</f>
        <v>4821</v>
      </c>
      <c r="F28" s="7">
        <f t="shared" si="27"/>
        <v>1322</v>
      </c>
      <c r="G28" s="7">
        <f t="shared" si="27"/>
        <v>4234</v>
      </c>
      <c r="H28" s="7">
        <f t="shared" si="27"/>
        <v>6480</v>
      </c>
      <c r="I28" s="7">
        <f t="shared" si="27"/>
        <v>5432</v>
      </c>
      <c r="J28" s="7">
        <f t="shared" si="27"/>
        <v>1609</v>
      </c>
      <c r="K28" s="7">
        <f t="shared" si="27"/>
        <v>4575</v>
      </c>
      <c r="L28" s="7">
        <f t="shared" si="27"/>
        <v>3934</v>
      </c>
      <c r="M28" s="7">
        <f t="shared" si="27"/>
        <v>4814</v>
      </c>
      <c r="N28" s="7">
        <f>N19*N45</f>
        <v>1546.7362664137684</v>
      </c>
      <c r="O28" s="7">
        <f>O19*O45</f>
        <v>4712.8297303490153</v>
      </c>
      <c r="P28" s="7">
        <f>P19*P45</f>
        <v>5796.3365211245236</v>
      </c>
      <c r="Q28" s="7">
        <f>Q19*Q45</f>
        <v>5072.1199900499987</v>
      </c>
      <c r="R28" s="7">
        <f>R19*R45</f>
        <v>1622.9275789398087</v>
      </c>
      <c r="U28" s="7">
        <f>SUM(U22:U27)</f>
        <v>22034</v>
      </c>
      <c r="V28" s="7">
        <f t="shared" ref="V28:AD28" si="28">SUM(V22:V27)</f>
        <v>23761</v>
      </c>
      <c r="W28" s="7">
        <f t="shared" si="28"/>
        <v>9851</v>
      </c>
      <c r="X28" s="7">
        <f t="shared" si="28"/>
        <v>9814</v>
      </c>
      <c r="Y28" s="7">
        <f t="shared" si="28"/>
        <v>11590</v>
      </c>
      <c r="Z28" s="7">
        <f t="shared" si="28"/>
        <v>9734</v>
      </c>
      <c r="AA28" s="7">
        <f t="shared" si="28"/>
        <v>12107</v>
      </c>
      <c r="AB28" s="7">
        <f t="shared" si="28"/>
        <v>10517</v>
      </c>
      <c r="AC28" s="7">
        <f t="shared" si="28"/>
        <v>14228</v>
      </c>
      <c r="AD28" s="7">
        <f t="shared" si="28"/>
        <v>17755</v>
      </c>
      <c r="AE28" s="7">
        <f>SUM(K28:N28)</f>
        <v>14869.736266413769</v>
      </c>
      <c r="AF28" s="7">
        <f>SUM(O28:R28)</f>
        <v>17204.213820463348</v>
      </c>
      <c r="AG28" s="7">
        <f t="shared" ref="AG28:AP28" si="29">AG19*AG45</f>
        <v>18614.497401906774</v>
      </c>
      <c r="AH28" s="7">
        <f t="shared" si="29"/>
        <v>19391.317254843987</v>
      </c>
      <c r="AI28" s="7">
        <f t="shared" si="29"/>
        <v>20169.76064913458</v>
      </c>
      <c r="AJ28" s="7">
        <f t="shared" si="29"/>
        <v>20945.013058392946</v>
      </c>
      <c r="AK28" s="7">
        <f t="shared" si="29"/>
        <v>21711.46764659819</v>
      </c>
      <c r="AL28" s="7">
        <f t="shared" si="29"/>
        <v>22462.628364273554</v>
      </c>
      <c r="AM28" s="7">
        <f t="shared" si="29"/>
        <v>23191.002531034039</v>
      </c>
      <c r="AN28" s="7">
        <f t="shared" si="29"/>
        <v>23887.981835846305</v>
      </c>
      <c r="AO28" s="7">
        <f t="shared" si="29"/>
        <v>24543.710582090709</v>
      </c>
      <c r="AP28" s="7">
        <f t="shared" si="29"/>
        <v>25146.939890372836</v>
      </c>
    </row>
    <row r="29" spans="2:42" x14ac:dyDescent="0.45">
      <c r="B29" s="6" t="s">
        <v>23</v>
      </c>
      <c r="D29" s="7">
        <f>D21-D28</f>
        <v>2195</v>
      </c>
      <c r="E29" s="7">
        <f t="shared" ref="E29:R29" si="30">E21-E28</f>
        <v>593</v>
      </c>
      <c r="F29" s="7">
        <f t="shared" si="30"/>
        <v>1895</v>
      </c>
      <c r="G29" s="7">
        <f t="shared" si="30"/>
        <v>3823</v>
      </c>
      <c r="H29" s="7">
        <f t="shared" si="30"/>
        <v>2290</v>
      </c>
      <c r="I29" s="7">
        <f t="shared" si="30"/>
        <v>829</v>
      </c>
      <c r="J29" s="7">
        <f t="shared" si="30"/>
        <v>1921</v>
      </c>
      <c r="K29" s="7">
        <f t="shared" si="30"/>
        <v>4061</v>
      </c>
      <c r="L29" s="7">
        <f t="shared" si="30"/>
        <v>3057</v>
      </c>
      <c r="M29" s="7">
        <f t="shared" si="30"/>
        <v>1242</v>
      </c>
      <c r="N29" s="7">
        <f t="shared" si="30"/>
        <v>4736.0737335862323</v>
      </c>
      <c r="O29" s="7">
        <f t="shared" si="30"/>
        <v>6339.7102696509837</v>
      </c>
      <c r="P29" s="7">
        <f t="shared" si="30"/>
        <v>4485.0834788754764</v>
      </c>
      <c r="Q29" s="7">
        <f t="shared" si="30"/>
        <v>1036.8100099500016</v>
      </c>
      <c r="R29" s="7">
        <f t="shared" si="30"/>
        <v>4969.3699210601908</v>
      </c>
      <c r="U29" s="7">
        <f>U21-U28</f>
        <v>4408</v>
      </c>
      <c r="V29" s="7">
        <f t="shared" ref="V29:AE29" si="31">V21-V28</f>
        <v>5735</v>
      </c>
      <c r="W29" s="7">
        <f t="shared" si="31"/>
        <v>4816</v>
      </c>
      <c r="X29" s="7">
        <f t="shared" si="31"/>
        <v>4479</v>
      </c>
      <c r="Y29" s="7">
        <f t="shared" si="31"/>
        <v>4038</v>
      </c>
      <c r="Z29" s="7">
        <f t="shared" si="31"/>
        <v>3663</v>
      </c>
      <c r="AA29" s="7">
        <f t="shared" si="31"/>
        <v>7133</v>
      </c>
      <c r="AB29" s="7">
        <f t="shared" si="31"/>
        <v>7894</v>
      </c>
      <c r="AC29" s="7">
        <f t="shared" si="31"/>
        <v>7883</v>
      </c>
      <c r="AD29" s="7">
        <f t="shared" si="31"/>
        <v>8863</v>
      </c>
      <c r="AE29" s="7">
        <f t="shared" si="31"/>
        <v>13096.073733586232</v>
      </c>
      <c r="AF29" s="7">
        <f>SUM(O29:R29)</f>
        <v>16830.973679536652</v>
      </c>
      <c r="AG29" s="7">
        <f>AG21-AG28</f>
        <v>18614.497401906774</v>
      </c>
      <c r="AH29" s="7">
        <f t="shared" ref="AH29:AP29" si="32">AH21-AH28</f>
        <v>20882.957043678147</v>
      </c>
      <c r="AI29" s="7">
        <f t="shared" si="32"/>
        <v>23396.922352996116</v>
      </c>
      <c r="AJ29" s="7">
        <f t="shared" si="32"/>
        <v>26181.266322991196</v>
      </c>
      <c r="AK29" s="7">
        <f t="shared" si="32"/>
        <v>29263.282480197573</v>
      </c>
      <c r="AL29" s="7">
        <f t="shared" si="32"/>
        <v>32672.91398439791</v>
      </c>
      <c r="AM29" s="7">
        <f t="shared" si="32"/>
        <v>36443.00397733922</v>
      </c>
      <c r="AN29" s="7">
        <f t="shared" si="32"/>
        <v>40609.56912093873</v>
      </c>
      <c r="AO29" s="7">
        <f t="shared" si="32"/>
        <v>45212.098440693422</v>
      </c>
      <c r="AP29" s="7">
        <f t="shared" si="32"/>
        <v>50293.879780745665</v>
      </c>
    </row>
    <row r="30" spans="2:42" x14ac:dyDescent="0.45">
      <c r="B30" s="4" t="s">
        <v>24</v>
      </c>
      <c r="D30" s="3">
        <v>0</v>
      </c>
      <c r="E30" s="3">
        <v>585</v>
      </c>
      <c r="F30" s="3">
        <v>0</v>
      </c>
      <c r="G30" s="3">
        <v>0</v>
      </c>
      <c r="H30" s="3">
        <v>0</v>
      </c>
      <c r="I30" s="3">
        <v>1007</v>
      </c>
      <c r="J30" s="3">
        <v>31</v>
      </c>
      <c r="K30" s="3">
        <v>0</v>
      </c>
      <c r="L30" s="3">
        <v>0</v>
      </c>
      <c r="M30" s="3">
        <v>0</v>
      </c>
      <c r="N30" s="12">
        <v>0</v>
      </c>
      <c r="O30" s="3">
        <f>N30</f>
        <v>0</v>
      </c>
      <c r="P30" s="3">
        <f t="shared" ref="P30:R30" si="33">O30</f>
        <v>0</v>
      </c>
      <c r="Q30" s="3">
        <f t="shared" si="33"/>
        <v>0</v>
      </c>
      <c r="R30" s="3">
        <f t="shared" si="33"/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-1302</v>
      </c>
      <c r="AB30" s="3">
        <v>51</v>
      </c>
      <c r="AC30" s="3">
        <v>585</v>
      </c>
      <c r="AD30" s="3">
        <f>SUM(G30:J30)</f>
        <v>1038</v>
      </c>
      <c r="AE30" s="3">
        <f>SUM(K30:N30)</f>
        <v>0</v>
      </c>
      <c r="AF30" s="3">
        <f>SUM(O30:R30)</f>
        <v>0</v>
      </c>
      <c r="AG30" s="12">
        <v>0</v>
      </c>
      <c r="AH30" s="3">
        <f>AG30</f>
        <v>0</v>
      </c>
      <c r="AI30" s="3">
        <f t="shared" ref="AI30:AP30" si="34">AH30</f>
        <v>0</v>
      </c>
      <c r="AJ30" s="3">
        <f t="shared" si="34"/>
        <v>0</v>
      </c>
      <c r="AK30" s="3">
        <f t="shared" si="34"/>
        <v>0</v>
      </c>
      <c r="AL30" s="3">
        <f t="shared" si="34"/>
        <v>0</v>
      </c>
      <c r="AM30" s="3">
        <f t="shared" si="34"/>
        <v>0</v>
      </c>
      <c r="AN30" s="3">
        <f t="shared" si="34"/>
        <v>0</v>
      </c>
      <c r="AO30" s="3">
        <f t="shared" si="34"/>
        <v>0</v>
      </c>
      <c r="AP30" s="3">
        <f t="shared" si="34"/>
        <v>0</v>
      </c>
    </row>
    <row r="31" spans="2:42" x14ac:dyDescent="0.45">
      <c r="B31" s="6" t="s">
        <v>25</v>
      </c>
      <c r="D31" s="7">
        <f>D29+D30</f>
        <v>2195</v>
      </c>
      <c r="E31" s="7">
        <f t="shared" ref="E31:M31" si="35">E29+E30</f>
        <v>1178</v>
      </c>
      <c r="F31" s="7">
        <f t="shared" si="35"/>
        <v>1895</v>
      </c>
      <c r="G31" s="7">
        <f t="shared" si="35"/>
        <v>3823</v>
      </c>
      <c r="H31" s="7">
        <f t="shared" si="35"/>
        <v>2290</v>
      </c>
      <c r="I31" s="7">
        <f t="shared" si="35"/>
        <v>1836</v>
      </c>
      <c r="J31" s="7">
        <f t="shared" si="35"/>
        <v>1952</v>
      </c>
      <c r="K31" s="7">
        <f t="shared" si="35"/>
        <v>4061</v>
      </c>
      <c r="L31" s="7">
        <f t="shared" si="35"/>
        <v>3057</v>
      </c>
      <c r="M31" s="7">
        <f t="shared" si="35"/>
        <v>1242</v>
      </c>
      <c r="N31" s="7">
        <f t="shared" ref="N31" si="36">N29+N30</f>
        <v>4736.0737335862323</v>
      </c>
      <c r="O31" s="7">
        <f t="shared" ref="O31" si="37">O29+O30</f>
        <v>6339.7102696509837</v>
      </c>
      <c r="P31" s="7">
        <f t="shared" ref="P31" si="38">P29+P30</f>
        <v>4485.0834788754764</v>
      </c>
      <c r="Q31" s="7">
        <f t="shared" ref="Q31" si="39">Q29+Q30</f>
        <v>1036.8100099500016</v>
      </c>
      <c r="R31" s="7">
        <f t="shared" ref="R31" si="40">R29+R30</f>
        <v>4969.3699210601908</v>
      </c>
      <c r="U31" s="7">
        <f>U29+U30</f>
        <v>4408</v>
      </c>
      <c r="V31" s="7">
        <f t="shared" ref="V31:AC31" si="41">V29+V30</f>
        <v>5735</v>
      </c>
      <c r="W31" s="7">
        <f t="shared" si="41"/>
        <v>4816</v>
      </c>
      <c r="X31" s="7">
        <f t="shared" si="41"/>
        <v>4479</v>
      </c>
      <c r="Y31" s="7">
        <f t="shared" si="41"/>
        <v>4038</v>
      </c>
      <c r="Z31" s="7">
        <f t="shared" si="41"/>
        <v>3663</v>
      </c>
      <c r="AA31" s="7">
        <f t="shared" si="41"/>
        <v>5831</v>
      </c>
      <c r="AB31" s="7">
        <f t="shared" si="41"/>
        <v>7945</v>
      </c>
      <c r="AC31" s="7">
        <f t="shared" si="41"/>
        <v>8468</v>
      </c>
      <c r="AD31" s="7">
        <f>AD29+AD30</f>
        <v>9901</v>
      </c>
      <c r="AE31" s="7">
        <f t="shared" ref="AE31" si="42">AE29+AE30</f>
        <v>13096.073733586232</v>
      </c>
      <c r="AF31" s="7">
        <f>SUM(O31:R31)</f>
        <v>16830.973679536652</v>
      </c>
      <c r="AG31" s="7">
        <f>AG29+AG30</f>
        <v>18614.497401906774</v>
      </c>
      <c r="AH31" s="7">
        <f t="shared" ref="AH31:AP31" si="43">AH29+AH30</f>
        <v>20882.957043678147</v>
      </c>
      <c r="AI31" s="7">
        <f t="shared" si="43"/>
        <v>23396.922352996116</v>
      </c>
      <c r="AJ31" s="7">
        <f t="shared" si="43"/>
        <v>26181.266322991196</v>
      </c>
      <c r="AK31" s="7">
        <f t="shared" si="43"/>
        <v>29263.282480197573</v>
      </c>
      <c r="AL31" s="7">
        <f t="shared" si="43"/>
        <v>32672.91398439791</v>
      </c>
      <c r="AM31" s="7">
        <f t="shared" si="43"/>
        <v>36443.00397733922</v>
      </c>
      <c r="AN31" s="7">
        <f t="shared" si="43"/>
        <v>40609.56912093873</v>
      </c>
      <c r="AO31" s="7">
        <f t="shared" si="43"/>
        <v>45212.098440693422</v>
      </c>
      <c r="AP31" s="7">
        <f t="shared" si="43"/>
        <v>50293.879780745665</v>
      </c>
    </row>
    <row r="32" spans="2:42" x14ac:dyDescent="0.45">
      <c r="B32" s="4" t="s">
        <v>26</v>
      </c>
      <c r="D32" s="3">
        <v>654</v>
      </c>
      <c r="E32" s="3">
        <v>330</v>
      </c>
      <c r="F32" s="3">
        <v>368</v>
      </c>
      <c r="G32" s="3">
        <v>797</v>
      </c>
      <c r="H32" s="3">
        <v>664</v>
      </c>
      <c r="I32" s="3">
        <v>491</v>
      </c>
      <c r="J32" s="3">
        <v>367</v>
      </c>
      <c r="K32" s="3">
        <v>776</v>
      </c>
      <c r="L32" s="3">
        <v>828</v>
      </c>
      <c r="M32" s="3">
        <v>311</v>
      </c>
      <c r="N32" s="3">
        <f>N31*N44</f>
        <v>905.08155908261995</v>
      </c>
      <c r="O32" s="3">
        <f>O31*O44</f>
        <v>1266.5503576947274</v>
      </c>
      <c r="P32" s="3">
        <f>P31*P44</f>
        <v>1283.870090419952</v>
      </c>
      <c r="Q32" s="3">
        <f>Q31*Q44</f>
        <v>275.78026296236919</v>
      </c>
      <c r="R32" s="3">
        <f>R31*R44</f>
        <v>949.66534070526666</v>
      </c>
      <c r="U32" s="3">
        <v>1513</v>
      </c>
      <c r="V32" s="3">
        <v>1905</v>
      </c>
      <c r="W32" s="3">
        <v>1665</v>
      </c>
      <c r="X32" s="3">
        <v>1569</v>
      </c>
      <c r="Y32" s="3">
        <v>1037</v>
      </c>
      <c r="Z32" s="3">
        <v>1287</v>
      </c>
      <c r="AA32" s="3">
        <v>1086</v>
      </c>
      <c r="AB32" s="3">
        <v>3014</v>
      </c>
      <c r="AC32" s="3">
        <v>2015</v>
      </c>
      <c r="AD32" s="3">
        <f>SUM(G32:J32)</f>
        <v>2319</v>
      </c>
      <c r="AE32" s="3">
        <f>SUM(K32:N32)</f>
        <v>2820.0815590826201</v>
      </c>
      <c r="AF32" s="3">
        <f>SUM(O32:R32)</f>
        <v>3775.8660517823155</v>
      </c>
      <c r="AG32" s="3">
        <f t="shared" ref="AG32:AP32" si="44">AG31*$AG$44</f>
        <v>4653.6243504766935</v>
      </c>
      <c r="AH32" s="3">
        <f t="shared" si="44"/>
        <v>5220.7392609195367</v>
      </c>
      <c r="AI32" s="3">
        <f t="shared" si="44"/>
        <v>5849.2305882490291</v>
      </c>
      <c r="AJ32" s="3">
        <f t="shared" si="44"/>
        <v>6545.316580747799</v>
      </c>
      <c r="AK32" s="3">
        <f t="shared" si="44"/>
        <v>7315.8206200493933</v>
      </c>
      <c r="AL32" s="3">
        <f t="shared" si="44"/>
        <v>8168.2284960994775</v>
      </c>
      <c r="AM32" s="3">
        <f t="shared" si="44"/>
        <v>9110.750994334805</v>
      </c>
      <c r="AN32" s="3">
        <f t="shared" si="44"/>
        <v>10152.392280234682</v>
      </c>
      <c r="AO32" s="3">
        <f t="shared" si="44"/>
        <v>11303.024610173356</v>
      </c>
      <c r="AP32" s="3">
        <f t="shared" si="44"/>
        <v>12573.469945186416</v>
      </c>
    </row>
    <row r="33" spans="2:169" x14ac:dyDescent="0.45">
      <c r="B33" s="8" t="s">
        <v>27</v>
      </c>
      <c r="D33" s="9">
        <f>D31-D32</f>
        <v>1541</v>
      </c>
      <c r="E33" s="9">
        <f t="shared" ref="E33:K33" si="45">E31-E32</f>
        <v>848</v>
      </c>
      <c r="F33" s="9">
        <f t="shared" si="45"/>
        <v>1527</v>
      </c>
      <c r="G33" s="9">
        <f t="shared" si="45"/>
        <v>3026</v>
      </c>
      <c r="H33" s="9">
        <f t="shared" si="45"/>
        <v>1626</v>
      </c>
      <c r="I33" s="9">
        <f t="shared" si="45"/>
        <v>1345</v>
      </c>
      <c r="J33" s="9">
        <f t="shared" si="45"/>
        <v>1585</v>
      </c>
      <c r="K33" s="9">
        <f t="shared" si="45"/>
        <v>3285</v>
      </c>
      <c r="L33" s="9">
        <f>L31-L32</f>
        <v>2229</v>
      </c>
      <c r="M33" s="9">
        <f>M31-M32</f>
        <v>931</v>
      </c>
      <c r="N33" s="9">
        <f t="shared" ref="N33:R33" si="46">N31-N32</f>
        <v>3830.9921745036122</v>
      </c>
      <c r="O33" s="9">
        <f t="shared" si="46"/>
        <v>5073.1599119562561</v>
      </c>
      <c r="P33" s="9">
        <f t="shared" si="46"/>
        <v>3201.2133884555242</v>
      </c>
      <c r="Q33" s="9">
        <f t="shared" si="46"/>
        <v>761.02974698763239</v>
      </c>
      <c r="R33" s="9">
        <f t="shared" si="46"/>
        <v>4019.704580354924</v>
      </c>
      <c r="U33" s="9">
        <f>U31-U32</f>
        <v>2895</v>
      </c>
      <c r="V33" s="9">
        <f t="shared" ref="V33:AC33" si="47">V31-V32</f>
        <v>3830</v>
      </c>
      <c r="W33" s="9">
        <f t="shared" si="47"/>
        <v>3151</v>
      </c>
      <c r="X33" s="9">
        <f t="shared" si="47"/>
        <v>2910</v>
      </c>
      <c r="Y33" s="9">
        <f t="shared" si="47"/>
        <v>3001</v>
      </c>
      <c r="Z33" s="9">
        <f t="shared" si="47"/>
        <v>2376</v>
      </c>
      <c r="AA33" s="9">
        <f t="shared" si="47"/>
        <v>4745</v>
      </c>
      <c r="AB33" s="9">
        <f t="shared" si="47"/>
        <v>4931</v>
      </c>
      <c r="AC33" s="9">
        <f t="shared" si="47"/>
        <v>6453</v>
      </c>
      <c r="AD33" s="9">
        <f>AD31-AD32</f>
        <v>7582</v>
      </c>
      <c r="AE33" s="9">
        <f t="shared" ref="AE33:AF33" si="48">AE31-AE32</f>
        <v>10275.992174503612</v>
      </c>
      <c r="AF33" s="9">
        <f t="shared" si="48"/>
        <v>13055.107627754336</v>
      </c>
      <c r="AG33" s="9">
        <f>AG31-AG32</f>
        <v>13960.873051430081</v>
      </c>
      <c r="AH33" s="9">
        <f t="shared" ref="AH33:AP33" si="49">AH31-AH32</f>
        <v>15662.217782758609</v>
      </c>
      <c r="AI33" s="9">
        <f t="shared" si="49"/>
        <v>17547.691764747087</v>
      </c>
      <c r="AJ33" s="9">
        <f t="shared" si="49"/>
        <v>19635.949742243396</v>
      </c>
      <c r="AK33" s="9">
        <f t="shared" si="49"/>
        <v>21947.461860148178</v>
      </c>
      <c r="AL33" s="9">
        <f t="shared" si="49"/>
        <v>24504.685488298433</v>
      </c>
      <c r="AM33" s="9">
        <f t="shared" si="49"/>
        <v>27332.252983004415</v>
      </c>
      <c r="AN33" s="9">
        <f t="shared" si="49"/>
        <v>30457.176840704047</v>
      </c>
      <c r="AO33" s="9">
        <f t="shared" si="49"/>
        <v>33909.073830520065</v>
      </c>
      <c r="AP33" s="9">
        <f t="shared" si="49"/>
        <v>37720.40983555925</v>
      </c>
      <c r="AQ33" s="9">
        <f t="shared" ref="AQ33:BV33" si="50">AP33*(1+$AV$45)</f>
        <v>39040.624179803825</v>
      </c>
      <c r="AR33" s="9">
        <f t="shared" si="50"/>
        <v>40407.046026096956</v>
      </c>
      <c r="AS33" s="9">
        <f t="shared" si="50"/>
        <v>41821.292637010345</v>
      </c>
      <c r="AT33" s="9">
        <f t="shared" si="50"/>
        <v>43285.037879305703</v>
      </c>
      <c r="AU33" s="9">
        <f t="shared" si="50"/>
        <v>44800.014205081396</v>
      </c>
      <c r="AV33" s="9">
        <f t="shared" si="50"/>
        <v>46368.014702259243</v>
      </c>
      <c r="AW33" s="9">
        <f t="shared" si="50"/>
        <v>47990.895216838311</v>
      </c>
      <c r="AX33" s="9">
        <f t="shared" si="50"/>
        <v>49670.576549427649</v>
      </c>
      <c r="AY33" s="9">
        <f t="shared" si="50"/>
        <v>51409.046728657609</v>
      </c>
      <c r="AZ33" s="9">
        <f t="shared" si="50"/>
        <v>53208.363364160621</v>
      </c>
      <c r="BA33" s="9">
        <f t="shared" si="50"/>
        <v>55070.656081906236</v>
      </c>
      <c r="BB33" s="9">
        <f t="shared" si="50"/>
        <v>56998.129044772948</v>
      </c>
      <c r="BC33" s="9">
        <f t="shared" si="50"/>
        <v>58993.063561339994</v>
      </c>
      <c r="BD33" s="9">
        <f t="shared" si="50"/>
        <v>61057.820785986885</v>
      </c>
      <c r="BE33" s="9">
        <f t="shared" si="50"/>
        <v>63194.84451349642</v>
      </c>
      <c r="BF33" s="9">
        <f t="shared" si="50"/>
        <v>65406.664071468789</v>
      </c>
      <c r="BG33" s="9">
        <f t="shared" si="50"/>
        <v>67695.897313970185</v>
      </c>
      <c r="BH33" s="9">
        <f t="shared" si="50"/>
        <v>70065.253719959132</v>
      </c>
      <c r="BI33" s="9">
        <f t="shared" si="50"/>
        <v>72517.537600157695</v>
      </c>
      <c r="BJ33" s="9">
        <f t="shared" si="50"/>
        <v>75055.651416163208</v>
      </c>
      <c r="BK33" s="9">
        <f t="shared" si="50"/>
        <v>77682.599215728915</v>
      </c>
      <c r="BL33" s="9">
        <f t="shared" si="50"/>
        <v>80401.490188279422</v>
      </c>
      <c r="BM33" s="9">
        <f t="shared" si="50"/>
        <v>83215.542344869202</v>
      </c>
      <c r="BN33" s="9">
        <f t="shared" si="50"/>
        <v>86128.086326939621</v>
      </c>
      <c r="BO33" s="9">
        <f t="shared" si="50"/>
        <v>89142.569348382502</v>
      </c>
      <c r="BP33" s="9">
        <f t="shared" si="50"/>
        <v>92262.559275575884</v>
      </c>
      <c r="BQ33" s="9">
        <f t="shared" si="50"/>
        <v>95491.748850221033</v>
      </c>
      <c r="BR33" s="9">
        <f t="shared" si="50"/>
        <v>98833.960059978766</v>
      </c>
      <c r="BS33" s="9">
        <f t="shared" si="50"/>
        <v>102293.14866207802</v>
      </c>
      <c r="BT33" s="9">
        <f t="shared" si="50"/>
        <v>105873.40886525075</v>
      </c>
      <c r="BU33" s="9">
        <f t="shared" si="50"/>
        <v>109578.97817553452</v>
      </c>
      <c r="BV33" s="9">
        <f t="shared" si="50"/>
        <v>113414.24241167822</v>
      </c>
      <c r="BW33" s="9">
        <f t="shared" ref="BW33:DB33" si="51">BV33*(1+$AV$45)</f>
        <v>117383.74089608695</v>
      </c>
      <c r="BX33" s="9">
        <f t="shared" si="51"/>
        <v>121492.17182744999</v>
      </c>
      <c r="BY33" s="9">
        <f t="shared" si="51"/>
        <v>125744.39784141073</v>
      </c>
      <c r="BZ33" s="9">
        <f t="shared" si="51"/>
        <v>130145.4517658601</v>
      </c>
      <c r="CA33" s="9">
        <f t="shared" si="51"/>
        <v>134700.54257766518</v>
      </c>
      <c r="CB33" s="9">
        <f t="shared" si="51"/>
        <v>139415.06156788344</v>
      </c>
      <c r="CC33" s="9">
        <f t="shared" si="51"/>
        <v>144294.58872275936</v>
      </c>
      <c r="CD33" s="9">
        <f t="shared" si="51"/>
        <v>149344.89932805594</v>
      </c>
      <c r="CE33" s="9">
        <f t="shared" si="51"/>
        <v>154571.97080453788</v>
      </c>
      <c r="CF33" s="9">
        <f t="shared" si="51"/>
        <v>159981.98978269671</v>
      </c>
      <c r="CG33" s="9">
        <f t="shared" si="51"/>
        <v>165581.35942509107</v>
      </c>
      <c r="CH33" s="9">
        <f t="shared" si="51"/>
        <v>171376.70700496924</v>
      </c>
      <c r="CI33" s="9">
        <f t="shared" si="51"/>
        <v>177374.89175014314</v>
      </c>
      <c r="CJ33" s="9">
        <f t="shared" si="51"/>
        <v>183583.01296139814</v>
      </c>
      <c r="CK33" s="9">
        <f t="shared" si="51"/>
        <v>190008.41841504705</v>
      </c>
      <c r="CL33" s="9">
        <f t="shared" si="51"/>
        <v>196658.7130595737</v>
      </c>
      <c r="CM33" s="9">
        <f t="shared" si="51"/>
        <v>203541.76801665875</v>
      </c>
      <c r="CN33" s="9">
        <f t="shared" si="51"/>
        <v>210665.72989724181</v>
      </c>
      <c r="CO33" s="9">
        <f t="shared" si="51"/>
        <v>218039.03044364526</v>
      </c>
      <c r="CP33" s="9">
        <f t="shared" si="51"/>
        <v>225670.39650917283</v>
      </c>
      <c r="CQ33" s="9">
        <f t="shared" si="51"/>
        <v>233568.86038699385</v>
      </c>
      <c r="CR33" s="9">
        <f t="shared" si="51"/>
        <v>241743.77050053861</v>
      </c>
      <c r="CS33" s="9">
        <f t="shared" si="51"/>
        <v>250204.80246805743</v>
      </c>
      <c r="CT33" s="9">
        <f t="shared" si="51"/>
        <v>258961.97055443941</v>
      </c>
      <c r="CU33" s="9">
        <f t="shared" si="51"/>
        <v>268025.63952384476</v>
      </c>
      <c r="CV33" s="9">
        <f t="shared" si="51"/>
        <v>277406.53690717928</v>
      </c>
      <c r="CW33" s="9">
        <f t="shared" si="51"/>
        <v>287115.76569893054</v>
      </c>
      <c r="CX33" s="9">
        <f t="shared" si="51"/>
        <v>297164.81749839307</v>
      </c>
      <c r="CY33" s="9">
        <f t="shared" si="51"/>
        <v>307565.58611083683</v>
      </c>
      <c r="CZ33" s="9">
        <f t="shared" si="51"/>
        <v>318330.3816247161</v>
      </c>
      <c r="DA33" s="9">
        <f t="shared" si="51"/>
        <v>329471.94498158112</v>
      </c>
      <c r="DB33" s="9">
        <f t="shared" si="51"/>
        <v>341003.46305593645</v>
      </c>
      <c r="DC33" s="9">
        <f t="shared" ref="DC33:EH33" si="52">DB33*(1+$AV$45)</f>
        <v>352938.58426289418</v>
      </c>
      <c r="DD33" s="9">
        <f t="shared" si="52"/>
        <v>365291.43471209542</v>
      </c>
      <c r="DE33" s="9">
        <f t="shared" si="52"/>
        <v>378076.63492701872</v>
      </c>
      <c r="DF33" s="9">
        <f t="shared" si="52"/>
        <v>391309.31714946433</v>
      </c>
      <c r="DG33" s="9">
        <f t="shared" si="52"/>
        <v>405005.14324969554</v>
      </c>
      <c r="DH33" s="9">
        <f t="shared" si="52"/>
        <v>419180.32326343487</v>
      </c>
      <c r="DI33" s="9">
        <f t="shared" si="52"/>
        <v>433851.63457765506</v>
      </c>
      <c r="DJ33" s="9">
        <f t="shared" si="52"/>
        <v>449036.44178787293</v>
      </c>
      <c r="DK33" s="9">
        <f t="shared" si="52"/>
        <v>464752.71725044842</v>
      </c>
      <c r="DL33" s="9">
        <f t="shared" si="52"/>
        <v>481019.06235421408</v>
      </c>
      <c r="DM33" s="9">
        <f t="shared" si="52"/>
        <v>497854.72953661153</v>
      </c>
      <c r="DN33" s="9">
        <f t="shared" si="52"/>
        <v>515279.64507039287</v>
      </c>
      <c r="DO33" s="9">
        <f t="shared" si="52"/>
        <v>533314.43264785653</v>
      </c>
      <c r="DP33" s="9">
        <f t="shared" si="52"/>
        <v>551980.43779053143</v>
      </c>
      <c r="DQ33" s="9">
        <f t="shared" si="52"/>
        <v>571299.75311319996</v>
      </c>
      <c r="DR33" s="9">
        <f t="shared" si="52"/>
        <v>591295.24447216187</v>
      </c>
      <c r="DS33" s="9">
        <f t="shared" si="52"/>
        <v>611990.57802868751</v>
      </c>
      <c r="DT33" s="9">
        <f t="shared" si="52"/>
        <v>633410.24825969152</v>
      </c>
      <c r="DU33" s="9">
        <f t="shared" si="52"/>
        <v>655579.60694878071</v>
      </c>
      <c r="DV33" s="9">
        <f t="shared" si="52"/>
        <v>678524.893191988</v>
      </c>
      <c r="DW33" s="9">
        <f t="shared" si="52"/>
        <v>702273.2644537075</v>
      </c>
      <c r="DX33" s="9">
        <f t="shared" si="52"/>
        <v>726852.82870958722</v>
      </c>
      <c r="DY33" s="9">
        <f t="shared" si="52"/>
        <v>752292.67771442269</v>
      </c>
      <c r="DZ33" s="9">
        <f t="shared" si="52"/>
        <v>778622.92143442738</v>
      </c>
      <c r="EA33" s="9">
        <f t="shared" si="52"/>
        <v>805874.72368463222</v>
      </c>
      <c r="EB33" s="9">
        <f t="shared" si="52"/>
        <v>834080.33901359432</v>
      </c>
      <c r="EC33" s="9">
        <f t="shared" si="52"/>
        <v>863273.15087907005</v>
      </c>
      <c r="ED33" s="9">
        <f t="shared" si="52"/>
        <v>893487.71115983743</v>
      </c>
      <c r="EE33" s="9">
        <f t="shared" si="52"/>
        <v>924759.78105043166</v>
      </c>
      <c r="EF33" s="9">
        <f t="shared" si="52"/>
        <v>957126.37338719668</v>
      </c>
      <c r="EG33" s="9">
        <f t="shared" si="52"/>
        <v>990625.7964557485</v>
      </c>
      <c r="EH33" s="9">
        <f t="shared" si="52"/>
        <v>1025297.6993316996</v>
      </c>
      <c r="EI33" s="9">
        <f t="shared" ref="EI33:FA33" si="53">EH33*(1+$AV$45)</f>
        <v>1061183.1188083091</v>
      </c>
      <c r="EJ33" s="9">
        <f t="shared" si="53"/>
        <v>1098324.5279665999</v>
      </c>
      <c r="EK33" s="9">
        <f t="shared" si="53"/>
        <v>1136765.8864454308</v>
      </c>
      <c r="EL33" s="9">
        <f t="shared" si="53"/>
        <v>1176552.6924710209</v>
      </c>
      <c r="EM33" s="9">
        <f t="shared" si="53"/>
        <v>1217732.0367075065</v>
      </c>
      <c r="EN33" s="9">
        <f t="shared" si="53"/>
        <v>1260352.6579922691</v>
      </c>
      <c r="EO33" s="9">
        <f t="shared" si="53"/>
        <v>1304465.0010219985</v>
      </c>
      <c r="EP33" s="9">
        <f t="shared" si="53"/>
        <v>1350121.2760577684</v>
      </c>
      <c r="EQ33" s="9">
        <f t="shared" si="53"/>
        <v>1397375.5207197901</v>
      </c>
      <c r="ER33" s="9">
        <f t="shared" si="53"/>
        <v>1446283.6639449827</v>
      </c>
      <c r="ES33" s="9">
        <f t="shared" si="53"/>
        <v>1496903.592183057</v>
      </c>
      <c r="ET33" s="9">
        <f t="shared" si="53"/>
        <v>1549295.2179094639</v>
      </c>
      <c r="EU33" s="9">
        <f t="shared" si="53"/>
        <v>1603520.5505362949</v>
      </c>
      <c r="EV33" s="9">
        <f t="shared" si="53"/>
        <v>1659643.7698050651</v>
      </c>
      <c r="EW33" s="9">
        <f t="shared" si="53"/>
        <v>1717731.3017482422</v>
      </c>
      <c r="EX33" s="9">
        <f t="shared" si="53"/>
        <v>1777851.8973094306</v>
      </c>
      <c r="EY33" s="9">
        <f t="shared" si="53"/>
        <v>1840076.7137152606</v>
      </c>
      <c r="EZ33" s="9">
        <f t="shared" si="53"/>
        <v>1904479.3986952945</v>
      </c>
      <c r="FA33" s="9">
        <f t="shared" si="53"/>
        <v>1971136.1776496298</v>
      </c>
    </row>
    <row r="34" spans="2:169" x14ac:dyDescent="0.45">
      <c r="B34" s="4" t="s">
        <v>28</v>
      </c>
      <c r="D34" s="10">
        <f>D33/D35</f>
        <v>34.320712694877507</v>
      </c>
      <c r="E34" s="10">
        <f t="shared" ref="E34:K34" si="54">E33/E35</f>
        <v>18.886414253897552</v>
      </c>
      <c r="F34" s="10">
        <f t="shared" si="54"/>
        <v>34.008908685968819</v>
      </c>
      <c r="G34" s="10">
        <f t="shared" si="54"/>
        <v>67.394209354120264</v>
      </c>
      <c r="H34" s="10">
        <f t="shared" si="54"/>
        <v>36.213808463251674</v>
      </c>
      <c r="I34" s="10">
        <f t="shared" si="54"/>
        <v>29.955456570155903</v>
      </c>
      <c r="J34" s="10">
        <f t="shared" si="54"/>
        <v>35.30066815144766</v>
      </c>
      <c r="K34" s="10">
        <f t="shared" si="54"/>
        <v>73.162583518930958</v>
      </c>
      <c r="L34" s="10">
        <f>L33/L35</f>
        <v>49.643652561247215</v>
      </c>
      <c r="M34" s="10">
        <f>M33/M35</f>
        <v>20.734966592427618</v>
      </c>
      <c r="N34" s="10">
        <f t="shared" ref="N34:R34" si="55">N33/N35</f>
        <v>85.322765579145042</v>
      </c>
      <c r="O34" s="10">
        <f t="shared" si="55"/>
        <v>112.98797131305693</v>
      </c>
      <c r="P34" s="10">
        <f t="shared" si="55"/>
        <v>71.296511992327936</v>
      </c>
      <c r="Q34" s="10">
        <f t="shared" si="55"/>
        <v>16.949437572107627</v>
      </c>
      <c r="R34" s="10">
        <f t="shared" si="55"/>
        <v>89.525714484519469</v>
      </c>
      <c r="U34" s="10">
        <f>U33/U35</f>
        <v>75.139549326739257</v>
      </c>
      <c r="V34" s="10">
        <f t="shared" ref="V34:AC34" si="56">V33/V35</f>
        <v>104.59051026542205</v>
      </c>
      <c r="W34" s="10">
        <f t="shared" si="56"/>
        <v>87.342504915406664</v>
      </c>
      <c r="X34" s="10">
        <f t="shared" si="56"/>
        <v>82.31034445012321</v>
      </c>
      <c r="Y34" s="10">
        <f t="shared" si="56"/>
        <v>86.158344682587455</v>
      </c>
      <c r="Z34" s="10">
        <f t="shared" si="56"/>
        <v>69.203360102742522</v>
      </c>
      <c r="AA34" s="10">
        <f t="shared" si="56"/>
        <v>105.6792873051225</v>
      </c>
      <c r="AB34" s="10">
        <f t="shared" si="56"/>
        <v>109.82182628062361</v>
      </c>
      <c r="AC34" s="10">
        <f t="shared" si="56"/>
        <v>143.71937639198219</v>
      </c>
      <c r="AD34" s="10">
        <f>AD33/AD35</f>
        <v>168.8641425389755</v>
      </c>
      <c r="AE34" s="10">
        <f t="shared" ref="AE34:AF34" si="57">AE33/AE35</f>
        <v>228.86396825175083</v>
      </c>
      <c r="AF34" s="10">
        <f t="shared" si="57"/>
        <v>290.75963536201198</v>
      </c>
      <c r="AG34" s="10">
        <f>AG33/AG35</f>
        <v>310.93258466436708</v>
      </c>
      <c r="AH34" s="10">
        <f t="shared" ref="AH34:AP34" si="58">AH33/AH35</f>
        <v>348.82444950464611</v>
      </c>
      <c r="AI34" s="10">
        <f t="shared" si="58"/>
        <v>390.81718852443402</v>
      </c>
      <c r="AJ34" s="10">
        <f t="shared" si="58"/>
        <v>437.32627488292644</v>
      </c>
      <c r="AK34" s="10">
        <f t="shared" si="58"/>
        <v>488.80761381176342</v>
      </c>
      <c r="AL34" s="10">
        <f t="shared" si="58"/>
        <v>545.76136944985376</v>
      </c>
      <c r="AM34" s="10">
        <f t="shared" si="58"/>
        <v>608.73614661479769</v>
      </c>
      <c r="AN34" s="10">
        <f t="shared" si="58"/>
        <v>678.33355992659347</v>
      </c>
      <c r="AO34" s="10">
        <f t="shared" si="58"/>
        <v>755.21322562405487</v>
      </c>
      <c r="AP34" s="10">
        <f t="shared" si="58"/>
        <v>840.09821460042872</v>
      </c>
    </row>
    <row r="35" spans="2:169" x14ac:dyDescent="0.45">
      <c r="B35" s="4" t="s">
        <v>4</v>
      </c>
      <c r="D35" s="3">
        <f>449/10</f>
        <v>44.9</v>
      </c>
      <c r="E35" s="3">
        <f t="shared" ref="E35:K35" si="59">449/10</f>
        <v>44.9</v>
      </c>
      <c r="F35" s="3">
        <f t="shared" si="59"/>
        <v>44.9</v>
      </c>
      <c r="G35" s="3">
        <f t="shared" si="59"/>
        <v>44.9</v>
      </c>
      <c r="H35" s="3">
        <f t="shared" si="59"/>
        <v>44.9</v>
      </c>
      <c r="I35" s="3">
        <f t="shared" si="59"/>
        <v>44.9</v>
      </c>
      <c r="J35" s="3">
        <f t="shared" si="59"/>
        <v>44.9</v>
      </c>
      <c r="K35" s="3">
        <f t="shared" si="59"/>
        <v>44.9</v>
      </c>
      <c r="L35" s="3">
        <f>449/10</f>
        <v>44.9</v>
      </c>
      <c r="M35" s="3">
        <f>449/10</f>
        <v>44.9</v>
      </c>
      <c r="N35" s="3">
        <f>M35</f>
        <v>44.9</v>
      </c>
      <c r="O35" s="3">
        <f t="shared" ref="O35:R35" si="60">N35</f>
        <v>44.9</v>
      </c>
      <c r="P35" s="3">
        <f t="shared" si="60"/>
        <v>44.9</v>
      </c>
      <c r="Q35" s="3">
        <f t="shared" si="60"/>
        <v>44.9</v>
      </c>
      <c r="R35" s="3">
        <f t="shared" si="60"/>
        <v>44.9</v>
      </c>
      <c r="U35" s="3">
        <f>38528312/1000000</f>
        <v>38.528312</v>
      </c>
      <c r="V35" s="3">
        <f>36619001/1000000</f>
        <v>36.619000999999997</v>
      </c>
      <c r="W35" s="3">
        <f>36076364/1000000</f>
        <v>36.076363999999998</v>
      </c>
      <c r="X35" s="3">
        <f>35354001/1000000</f>
        <v>35.354000999999997</v>
      </c>
      <c r="Y35" s="3">
        <f>34831217/1000000</f>
        <v>34.831217000000002</v>
      </c>
      <c r="Z35" s="3">
        <f>34333593/1000000</f>
        <v>34.333593</v>
      </c>
      <c r="AA35" s="3">
        <f t="shared" ref="AA35:AC35" si="61">J35</f>
        <v>44.9</v>
      </c>
      <c r="AB35" s="3">
        <f t="shared" si="61"/>
        <v>44.9</v>
      </c>
      <c r="AC35" s="3">
        <f t="shared" si="61"/>
        <v>44.9</v>
      </c>
      <c r="AD35" s="3">
        <f>M35</f>
        <v>44.9</v>
      </c>
      <c r="AE35" s="3">
        <f t="shared" ref="AE35:AF35" si="62">N35</f>
        <v>44.9</v>
      </c>
      <c r="AF35" s="3">
        <f t="shared" si="62"/>
        <v>44.9</v>
      </c>
      <c r="AG35" s="3">
        <f>AF35</f>
        <v>44.9</v>
      </c>
      <c r="AH35" s="3">
        <f t="shared" ref="AH35:AP35" si="63">AG35</f>
        <v>44.9</v>
      </c>
      <c r="AI35" s="3">
        <f t="shared" si="63"/>
        <v>44.9</v>
      </c>
      <c r="AJ35" s="3">
        <f t="shared" si="63"/>
        <v>44.9</v>
      </c>
      <c r="AK35" s="3">
        <f t="shared" si="63"/>
        <v>44.9</v>
      </c>
      <c r="AL35" s="3">
        <f t="shared" si="63"/>
        <v>44.9</v>
      </c>
      <c r="AM35" s="3">
        <f t="shared" si="63"/>
        <v>44.9</v>
      </c>
      <c r="AN35" s="3">
        <f t="shared" si="63"/>
        <v>44.9</v>
      </c>
      <c r="AO35" s="3">
        <f t="shared" si="63"/>
        <v>44.9</v>
      </c>
      <c r="AP35" s="3">
        <f t="shared" si="63"/>
        <v>44.9</v>
      </c>
    </row>
    <row r="36" spans="2:169" x14ac:dyDescent="0.45">
      <c r="B36" s="6" t="s">
        <v>122</v>
      </c>
      <c r="U36" s="7">
        <f>U33</f>
        <v>2895</v>
      </c>
      <c r="V36" s="7">
        <f t="shared" ref="V36:AP36" si="64">V33</f>
        <v>3830</v>
      </c>
      <c r="W36" s="7">
        <f t="shared" si="64"/>
        <v>3151</v>
      </c>
      <c r="X36" s="7">
        <f t="shared" si="64"/>
        <v>2910</v>
      </c>
      <c r="Y36" s="7">
        <f t="shared" si="64"/>
        <v>3001</v>
      </c>
      <c r="Z36" s="7">
        <f t="shared" si="64"/>
        <v>2376</v>
      </c>
      <c r="AA36" s="7">
        <f t="shared" si="64"/>
        <v>4745</v>
      </c>
      <c r="AB36" s="7">
        <f t="shared" si="64"/>
        <v>4931</v>
      </c>
      <c r="AC36" s="7">
        <f t="shared" si="64"/>
        <v>6453</v>
      </c>
      <c r="AD36" s="7">
        <f t="shared" si="64"/>
        <v>7582</v>
      </c>
      <c r="AE36" s="7">
        <f t="shared" si="64"/>
        <v>10275.992174503612</v>
      </c>
      <c r="AF36" s="7">
        <f t="shared" si="64"/>
        <v>13055.107627754336</v>
      </c>
      <c r="AG36" s="7">
        <f t="shared" si="64"/>
        <v>13960.873051430081</v>
      </c>
      <c r="AH36" s="7">
        <f t="shared" si="64"/>
        <v>15662.217782758609</v>
      </c>
      <c r="AI36" s="7">
        <f t="shared" si="64"/>
        <v>17547.691764747087</v>
      </c>
      <c r="AJ36" s="7">
        <f t="shared" si="64"/>
        <v>19635.949742243396</v>
      </c>
      <c r="AK36" s="7">
        <f t="shared" si="64"/>
        <v>21947.461860148178</v>
      </c>
      <c r="AL36" s="7">
        <f t="shared" si="64"/>
        <v>24504.685488298433</v>
      </c>
      <c r="AM36" s="7">
        <f t="shared" si="64"/>
        <v>27332.252983004415</v>
      </c>
      <c r="AN36" s="7">
        <f t="shared" si="64"/>
        <v>30457.176840704047</v>
      </c>
      <c r="AO36" s="7">
        <f t="shared" si="64"/>
        <v>33909.073830520065</v>
      </c>
      <c r="AP36" s="7">
        <f t="shared" si="64"/>
        <v>37720.40983555925</v>
      </c>
    </row>
    <row r="37" spans="2:169" x14ac:dyDescent="0.45">
      <c r="B37" s="6" t="s">
        <v>123</v>
      </c>
      <c r="U37" s="7">
        <f>U36+U26</f>
        <v>3541</v>
      </c>
      <c r="V37" s="7">
        <f t="shared" ref="V37:AD37" si="65">V36+V26</f>
        <v>4083</v>
      </c>
      <c r="W37" s="7">
        <f t="shared" si="65"/>
        <v>3398</v>
      </c>
      <c r="X37" s="7">
        <f t="shared" si="65"/>
        <v>3199</v>
      </c>
      <c r="Y37" s="7">
        <f t="shared" si="65"/>
        <v>3332</v>
      </c>
      <c r="Z37" s="7">
        <f t="shared" si="65"/>
        <v>2718</v>
      </c>
      <c r="AA37" s="7">
        <f t="shared" si="65"/>
        <v>5398</v>
      </c>
      <c r="AB37" s="7">
        <f t="shared" si="65"/>
        <v>5666</v>
      </c>
      <c r="AC37" s="7">
        <f t="shared" si="65"/>
        <v>7098</v>
      </c>
      <c r="AD37" s="7">
        <f t="shared" si="65"/>
        <v>8377</v>
      </c>
      <c r="AE37" s="7">
        <f t="shared" ref="AE37" si="66">AE36+AE26</f>
        <v>11358.039174503612</v>
      </c>
      <c r="AF37" s="7">
        <f t="shared" ref="AF37" si="67">AF36+AF26</f>
        <v>14189.613877754336</v>
      </c>
      <c r="AG37" s="7">
        <f t="shared" ref="AG37" si="68">AG36+AG26</f>
        <v>15201.839544890532</v>
      </c>
      <c r="AH37" s="7">
        <f t="shared" ref="AH37" si="69">AH36+AH26</f>
        <v>17004.693592709347</v>
      </c>
      <c r="AI37" s="7">
        <f t="shared" ref="AI37" si="70">AI36+AI26</f>
        <v>18999.914531484777</v>
      </c>
      <c r="AJ37" s="7">
        <f t="shared" ref="AJ37" si="71">AJ36+AJ26</f>
        <v>21206.825721622867</v>
      </c>
      <c r="AK37" s="7">
        <f t="shared" ref="AK37" si="72">AK36+AK26</f>
        <v>23646.620197708038</v>
      </c>
      <c r="AL37" s="7">
        <f t="shared" ref="AL37" si="73">AL36+AL26</f>
        <v>26342.536899920815</v>
      </c>
      <c r="AM37" s="7">
        <f t="shared" ref="AM37" si="74">AM36+AM26</f>
        <v>29320.053199950191</v>
      </c>
      <c r="AN37" s="7">
        <f t="shared" ref="AN37" si="75">AN36+AN26</f>
        <v>32607.095205930214</v>
      </c>
      <c r="AO37" s="7">
        <f t="shared" ref="AO37" si="76">AO36+AO26</f>
        <v>36234.267464612873</v>
      </c>
      <c r="AP37" s="7">
        <f t="shared" ref="AP37" si="77">AP36+AP26</f>
        <v>40235.103824596532</v>
      </c>
    </row>
    <row r="38" spans="2:169" x14ac:dyDescent="0.45">
      <c r="B38" s="4" t="s">
        <v>125</v>
      </c>
      <c r="V38" s="3">
        <f>V90-U90</f>
        <v>5170</v>
      </c>
      <c r="W38" s="3">
        <f t="shared" ref="W38:AD38" si="78">W90-V90</f>
        <v>-2758</v>
      </c>
      <c r="X38" s="3">
        <f t="shared" si="78"/>
        <v>1916</v>
      </c>
      <c r="Y38" s="3">
        <f t="shared" si="78"/>
        <v>-2769</v>
      </c>
      <c r="Z38" s="3">
        <f t="shared" si="78"/>
        <v>-2278</v>
      </c>
      <c r="AA38" s="3">
        <f t="shared" si="78"/>
        <v>6886</v>
      </c>
      <c r="AB38" s="3">
        <f t="shared" si="78"/>
        <v>983</v>
      </c>
      <c r="AC38" s="3">
        <f t="shared" si="78"/>
        <v>-571</v>
      </c>
      <c r="AD38" s="3">
        <f t="shared" si="78"/>
        <v>2027</v>
      </c>
      <c r="AE38" s="3">
        <f>AE19*$AE$48</f>
        <v>2705.1175000000003</v>
      </c>
      <c r="AF38" s="3">
        <f t="shared" ref="AF38:AP38" si="79">AF19*$AE$48</f>
        <v>2836.2656250000005</v>
      </c>
      <c r="AG38" s="3">
        <f t="shared" si="79"/>
        <v>3102.4162336511295</v>
      </c>
      <c r="AH38" s="3">
        <f t="shared" si="79"/>
        <v>3356.1895248768446</v>
      </c>
      <c r="AI38" s="3">
        <f t="shared" si="79"/>
        <v>3630.5569168442253</v>
      </c>
      <c r="AJ38" s="3">
        <f t="shared" si="79"/>
        <v>3927.1899484486785</v>
      </c>
      <c r="AK38" s="3">
        <f t="shared" si="79"/>
        <v>4247.8958438996478</v>
      </c>
      <c r="AL38" s="3">
        <f t="shared" si="79"/>
        <v>4594.6285290559563</v>
      </c>
      <c r="AM38" s="3">
        <f t="shared" si="79"/>
        <v>4969.5005423644388</v>
      </c>
      <c r="AN38" s="3">
        <f t="shared" si="79"/>
        <v>5374.7959130654199</v>
      </c>
      <c r="AO38" s="3">
        <f t="shared" si="79"/>
        <v>5812.9840852320112</v>
      </c>
      <c r="AP38" s="3">
        <f t="shared" si="79"/>
        <v>6286.734972593209</v>
      </c>
    </row>
    <row r="39" spans="2:169" x14ac:dyDescent="0.45">
      <c r="B39" s="4" t="s">
        <v>124</v>
      </c>
      <c r="V39" s="3">
        <f>V61-U61</f>
        <v>667</v>
      </c>
      <c r="W39" s="3">
        <f t="shared" ref="W39:AD39" si="80">W61-V61</f>
        <v>-49</v>
      </c>
      <c r="X39" s="3">
        <f t="shared" si="80"/>
        <v>174</v>
      </c>
      <c r="Y39" s="3">
        <f t="shared" si="80"/>
        <v>-52</v>
      </c>
      <c r="Z39" s="3">
        <f t="shared" si="80"/>
        <v>-74</v>
      </c>
      <c r="AA39" s="3">
        <f t="shared" si="80"/>
        <v>1437</v>
      </c>
      <c r="AB39" s="3">
        <f t="shared" si="80"/>
        <v>-431</v>
      </c>
      <c r="AC39" s="3">
        <f t="shared" si="80"/>
        <v>439</v>
      </c>
      <c r="AD39" s="3">
        <f t="shared" si="80"/>
        <v>-87</v>
      </c>
      <c r="AE39" s="3">
        <f>AE19*$AE$47</f>
        <v>2164.0940000000001</v>
      </c>
      <c r="AF39" s="3">
        <f t="shared" ref="AF39:AP39" si="81">AF19*$AE$47</f>
        <v>2269.0125000000003</v>
      </c>
      <c r="AG39" s="3">
        <f t="shared" si="81"/>
        <v>2481.9329869209037</v>
      </c>
      <c r="AH39" s="3">
        <f t="shared" si="81"/>
        <v>2684.9516199014756</v>
      </c>
      <c r="AI39" s="3">
        <f t="shared" si="81"/>
        <v>2904.4455334753798</v>
      </c>
      <c r="AJ39" s="3">
        <f t="shared" si="81"/>
        <v>3141.7519587589427</v>
      </c>
      <c r="AK39" s="3">
        <f t="shared" si="81"/>
        <v>3398.3166751197177</v>
      </c>
      <c r="AL39" s="3">
        <f t="shared" si="81"/>
        <v>3675.7028232447647</v>
      </c>
      <c r="AM39" s="3">
        <f t="shared" si="81"/>
        <v>3975.6004338915509</v>
      </c>
      <c r="AN39" s="3">
        <f t="shared" si="81"/>
        <v>4299.8367304523363</v>
      </c>
      <c r="AO39" s="3">
        <f t="shared" si="81"/>
        <v>4650.3872681856083</v>
      </c>
      <c r="AP39" s="3">
        <f t="shared" si="81"/>
        <v>5029.3879780745674</v>
      </c>
    </row>
    <row r="40" spans="2:169" x14ac:dyDescent="0.45">
      <c r="B40" s="8" t="s">
        <v>126</v>
      </c>
      <c r="V40" s="9">
        <f>V37-V38-V39</f>
        <v>-1754</v>
      </c>
      <c r="W40" s="9">
        <f t="shared" ref="W40:AD40" si="82">W37-W38-W39</f>
        <v>6205</v>
      </c>
      <c r="X40" s="9">
        <f t="shared" si="82"/>
        <v>1109</v>
      </c>
      <c r="Y40" s="9">
        <f t="shared" si="82"/>
        <v>6153</v>
      </c>
      <c r="Z40" s="9">
        <f t="shared" si="82"/>
        <v>5070</v>
      </c>
      <c r="AA40" s="9">
        <f t="shared" si="82"/>
        <v>-2925</v>
      </c>
      <c r="AB40" s="9">
        <f t="shared" si="82"/>
        <v>5114</v>
      </c>
      <c r="AC40" s="9">
        <f t="shared" si="82"/>
        <v>7230</v>
      </c>
      <c r="AD40" s="9">
        <f t="shared" si="82"/>
        <v>6437</v>
      </c>
      <c r="AE40" s="9">
        <f t="shared" ref="AE40" si="83">AE37-AE38-AE39</f>
        <v>6488.8276745036119</v>
      </c>
      <c r="AF40" s="9">
        <f t="shared" ref="AF40" si="84">AF37-AF38-AF39</f>
        <v>9084.3357527543358</v>
      </c>
      <c r="AG40" s="9">
        <f t="shared" ref="AG40" si="85">AG37-AG38-AG39</f>
        <v>9617.4903243184999</v>
      </c>
      <c r="AH40" s="9">
        <f t="shared" ref="AH40" si="86">AH37-AH38-AH39</f>
        <v>10963.552447931026</v>
      </c>
      <c r="AI40" s="9">
        <f t="shared" ref="AI40" si="87">AI37-AI38-AI39</f>
        <v>12464.912081165172</v>
      </c>
      <c r="AJ40" s="9">
        <f t="shared" ref="AJ40" si="88">AJ37-AJ38-AJ39</f>
        <v>14137.883814415245</v>
      </c>
      <c r="AK40" s="9">
        <f t="shared" ref="AK40" si="89">AK37-AK38-AK39</f>
        <v>16000.407678688673</v>
      </c>
      <c r="AL40" s="9">
        <f t="shared" ref="AL40" si="90">AL37-AL38-AL39</f>
        <v>18072.205547620091</v>
      </c>
      <c r="AM40" s="9">
        <f t="shared" ref="AM40" si="91">AM37-AM38-AM39</f>
        <v>20374.952223694199</v>
      </c>
      <c r="AN40" s="9">
        <f t="shared" ref="AN40" si="92">AN37-AN38-AN39</f>
        <v>22932.46256241246</v>
      </c>
      <c r="AO40" s="9">
        <f t="shared" ref="AO40" si="93">AO37-AO38-AO39</f>
        <v>25770.896111195252</v>
      </c>
      <c r="AP40" s="9">
        <f t="shared" ref="AP40" si="94">AP37-AP38-AP39</f>
        <v>28918.980873928758</v>
      </c>
      <c r="AQ40" s="9">
        <f>AP40*(1+$AV$45)</f>
        <v>29931.145204516262</v>
      </c>
      <c r="AR40" s="9">
        <f t="shared" ref="AR40:DC40" si="95">AQ40*(1+$AV$45)</f>
        <v>30978.735286674328</v>
      </c>
      <c r="AS40" s="9">
        <f t="shared" si="95"/>
        <v>32062.991021707927</v>
      </c>
      <c r="AT40" s="9">
        <f t="shared" si="95"/>
        <v>33185.195707467705</v>
      </c>
      <c r="AU40" s="9">
        <f t="shared" si="95"/>
        <v>34346.677557229072</v>
      </c>
      <c r="AV40" s="9">
        <f t="shared" si="95"/>
        <v>35548.811271732084</v>
      </c>
      <c r="AW40" s="9">
        <f t="shared" si="95"/>
        <v>36793.019666242704</v>
      </c>
      <c r="AX40" s="9">
        <f t="shared" si="95"/>
        <v>38080.775354561199</v>
      </c>
      <c r="AY40" s="9">
        <f t="shared" si="95"/>
        <v>39413.602491970836</v>
      </c>
      <c r="AZ40" s="9">
        <f t="shared" si="95"/>
        <v>40793.078579189809</v>
      </c>
      <c r="BA40" s="9">
        <f t="shared" si="95"/>
        <v>42220.836329461446</v>
      </c>
      <c r="BB40" s="9">
        <f t="shared" si="95"/>
        <v>43698.565600992595</v>
      </c>
      <c r="BC40" s="9">
        <f t="shared" si="95"/>
        <v>45228.015397027331</v>
      </c>
      <c r="BD40" s="9">
        <f t="shared" si="95"/>
        <v>46810.995935923282</v>
      </c>
      <c r="BE40" s="9">
        <f t="shared" si="95"/>
        <v>48449.38079368059</v>
      </c>
      <c r="BF40" s="9">
        <f t="shared" si="95"/>
        <v>50145.109121459405</v>
      </c>
      <c r="BG40" s="9">
        <f t="shared" si="95"/>
        <v>51900.187940710479</v>
      </c>
      <c r="BH40" s="9">
        <f t="shared" si="95"/>
        <v>53716.694518635341</v>
      </c>
      <c r="BI40" s="9">
        <f t="shared" si="95"/>
        <v>55596.778826787573</v>
      </c>
      <c r="BJ40" s="9">
        <f t="shared" si="95"/>
        <v>57542.666085725134</v>
      </c>
      <c r="BK40" s="9">
        <f t="shared" si="95"/>
        <v>59556.659398725511</v>
      </c>
      <c r="BL40" s="9">
        <f t="shared" si="95"/>
        <v>61641.1424776809</v>
      </c>
      <c r="BM40" s="9">
        <f t="shared" si="95"/>
        <v>63798.582464399726</v>
      </c>
      <c r="BN40" s="9">
        <f t="shared" si="95"/>
        <v>66031.532850653704</v>
      </c>
      <c r="BO40" s="9">
        <f t="shared" si="95"/>
        <v>68342.636500426583</v>
      </c>
      <c r="BP40" s="9">
        <f t="shared" si="95"/>
        <v>70734.628777941514</v>
      </c>
      <c r="BQ40" s="9">
        <f t="shared" si="95"/>
        <v>73210.340785169465</v>
      </c>
      <c r="BR40" s="9">
        <f t="shared" si="95"/>
        <v>75772.702712650396</v>
      </c>
      <c r="BS40" s="9">
        <f t="shared" si="95"/>
        <v>78424.747307593148</v>
      </c>
      <c r="BT40" s="9">
        <f t="shared" si="95"/>
        <v>81169.613463358895</v>
      </c>
      <c r="BU40" s="9">
        <f t="shared" si="95"/>
        <v>84010.549934576455</v>
      </c>
      <c r="BV40" s="9">
        <f t="shared" si="95"/>
        <v>86950.919182286627</v>
      </c>
      <c r="BW40" s="9">
        <f t="shared" si="95"/>
        <v>89994.201353666649</v>
      </c>
      <c r="BX40" s="9">
        <f t="shared" si="95"/>
        <v>93143.99840104497</v>
      </c>
      <c r="BY40" s="9">
        <f t="shared" si="95"/>
        <v>96404.038345081543</v>
      </c>
      <c r="BZ40" s="9">
        <f t="shared" si="95"/>
        <v>99778.179687159383</v>
      </c>
      <c r="CA40" s="9">
        <f t="shared" si="95"/>
        <v>103270.41597620996</v>
      </c>
      <c r="CB40" s="9">
        <f t="shared" si="95"/>
        <v>106884.88053537731</v>
      </c>
      <c r="CC40" s="9">
        <f t="shared" si="95"/>
        <v>110625.8513541155</v>
      </c>
      <c r="CD40" s="9">
        <f t="shared" si="95"/>
        <v>114497.75615150953</v>
      </c>
      <c r="CE40" s="9">
        <f t="shared" si="95"/>
        <v>118505.17761681235</v>
      </c>
      <c r="CF40" s="9">
        <f t="shared" si="95"/>
        <v>122652.85883340077</v>
      </c>
      <c r="CG40" s="9">
        <f t="shared" si="95"/>
        <v>126945.70889256978</v>
      </c>
      <c r="CH40" s="9">
        <f t="shared" si="95"/>
        <v>131388.80870380971</v>
      </c>
      <c r="CI40" s="9">
        <f t="shared" si="95"/>
        <v>135987.41700844304</v>
      </c>
      <c r="CJ40" s="9">
        <f t="shared" si="95"/>
        <v>140746.97660373853</v>
      </c>
      <c r="CK40" s="9">
        <f t="shared" si="95"/>
        <v>145673.12078486936</v>
      </c>
      <c r="CL40" s="9">
        <f t="shared" si="95"/>
        <v>150771.68001233978</v>
      </c>
      <c r="CM40" s="9">
        <f t="shared" si="95"/>
        <v>156048.68881277167</v>
      </c>
      <c r="CN40" s="9">
        <f t="shared" si="95"/>
        <v>161510.39292121865</v>
      </c>
      <c r="CO40" s="9">
        <f t="shared" si="95"/>
        <v>167163.25667346129</v>
      </c>
      <c r="CP40" s="9">
        <f t="shared" si="95"/>
        <v>173013.97065703242</v>
      </c>
      <c r="CQ40" s="9">
        <f t="shared" si="95"/>
        <v>179069.45963002855</v>
      </c>
      <c r="CR40" s="9">
        <f t="shared" si="95"/>
        <v>185336.89071707954</v>
      </c>
      <c r="CS40" s="9">
        <f t="shared" si="95"/>
        <v>191823.68189217732</v>
      </c>
      <c r="CT40" s="9">
        <f t="shared" si="95"/>
        <v>198537.51075840351</v>
      </c>
      <c r="CU40" s="9">
        <f t="shared" si="95"/>
        <v>205486.32363494762</v>
      </c>
      <c r="CV40" s="9">
        <f t="shared" si="95"/>
        <v>212678.34496217078</v>
      </c>
      <c r="CW40" s="9">
        <f t="shared" si="95"/>
        <v>220122.08703584675</v>
      </c>
      <c r="CX40" s="9">
        <f t="shared" si="95"/>
        <v>227826.36008210137</v>
      </c>
      <c r="CY40" s="9">
        <f t="shared" si="95"/>
        <v>235800.2826849749</v>
      </c>
      <c r="CZ40" s="9">
        <f t="shared" si="95"/>
        <v>244053.29257894901</v>
      </c>
      <c r="DA40" s="9">
        <f t="shared" si="95"/>
        <v>252595.15781921221</v>
      </c>
      <c r="DB40" s="9">
        <f t="shared" si="95"/>
        <v>261435.98834288461</v>
      </c>
      <c r="DC40" s="9">
        <f t="shared" si="95"/>
        <v>270586.24793488556</v>
      </c>
      <c r="DD40" s="9">
        <f t="shared" ref="DD40:FM40" si="96">DC40*(1+$AV$45)</f>
        <v>280056.76661260653</v>
      </c>
      <c r="DE40" s="9">
        <f t="shared" si="96"/>
        <v>289858.75344404776</v>
      </c>
      <c r="DF40" s="9">
        <f t="shared" si="96"/>
        <v>300003.80981458939</v>
      </c>
      <c r="DG40" s="9">
        <f t="shared" si="96"/>
        <v>310503.94315810001</v>
      </c>
      <c r="DH40" s="9">
        <f t="shared" si="96"/>
        <v>321371.58116863348</v>
      </c>
      <c r="DI40" s="9">
        <f t="shared" si="96"/>
        <v>332619.58650953561</v>
      </c>
      <c r="DJ40" s="9">
        <f t="shared" si="96"/>
        <v>344261.27203736932</v>
      </c>
      <c r="DK40" s="9">
        <f t="shared" si="96"/>
        <v>356310.41655867721</v>
      </c>
      <c r="DL40" s="9">
        <f t="shared" si="96"/>
        <v>368781.28113823087</v>
      </c>
      <c r="DM40" s="9">
        <f t="shared" si="96"/>
        <v>381688.62597806891</v>
      </c>
      <c r="DN40" s="9">
        <f t="shared" si="96"/>
        <v>395047.7278873013</v>
      </c>
      <c r="DO40" s="9">
        <f t="shared" si="96"/>
        <v>408874.39836335683</v>
      </c>
      <c r="DP40" s="9">
        <f t="shared" si="96"/>
        <v>423185.00230607431</v>
      </c>
      <c r="DQ40" s="9">
        <f t="shared" si="96"/>
        <v>437996.47738678689</v>
      </c>
      <c r="DR40" s="9">
        <f t="shared" si="96"/>
        <v>453326.35409532441</v>
      </c>
      <c r="DS40" s="9">
        <f t="shared" si="96"/>
        <v>469192.77648866072</v>
      </c>
      <c r="DT40" s="9">
        <f t="shared" si="96"/>
        <v>485614.52366576379</v>
      </c>
      <c r="DU40" s="9">
        <f t="shared" si="96"/>
        <v>502611.0319940655</v>
      </c>
      <c r="DV40" s="9">
        <f t="shared" si="96"/>
        <v>520202.41811385774</v>
      </c>
      <c r="DW40" s="9">
        <f t="shared" si="96"/>
        <v>538409.50274784269</v>
      </c>
      <c r="DX40" s="9">
        <f t="shared" si="96"/>
        <v>557253.83534401713</v>
      </c>
      <c r="DY40" s="9">
        <f t="shared" si="96"/>
        <v>576757.71958105767</v>
      </c>
      <c r="DZ40" s="9">
        <f t="shared" si="96"/>
        <v>596944.2397663946</v>
      </c>
      <c r="EA40" s="9">
        <f t="shared" si="96"/>
        <v>617837.28815821838</v>
      </c>
      <c r="EB40" s="9">
        <f t="shared" si="96"/>
        <v>639461.59324375598</v>
      </c>
      <c r="EC40" s="9">
        <f t="shared" si="96"/>
        <v>661842.74900728744</v>
      </c>
      <c r="ED40" s="9">
        <f t="shared" si="96"/>
        <v>685007.24522254243</v>
      </c>
      <c r="EE40" s="9">
        <f t="shared" si="96"/>
        <v>708982.49880533142</v>
      </c>
      <c r="EF40" s="9">
        <f t="shared" si="96"/>
        <v>733796.88626351801</v>
      </c>
      <c r="EG40" s="9">
        <f t="shared" si="96"/>
        <v>759479.77728274104</v>
      </c>
      <c r="EH40" s="9">
        <f t="shared" si="96"/>
        <v>786061.56948763691</v>
      </c>
      <c r="EI40" s="9">
        <f t="shared" si="96"/>
        <v>813573.72441970417</v>
      </c>
      <c r="EJ40" s="9">
        <f t="shared" si="96"/>
        <v>842048.80477439379</v>
      </c>
      <c r="EK40" s="9">
        <f t="shared" si="96"/>
        <v>871520.51294149749</v>
      </c>
      <c r="EL40" s="9">
        <f t="shared" si="96"/>
        <v>902023.73089444987</v>
      </c>
      <c r="EM40" s="9">
        <f t="shared" si="96"/>
        <v>933594.56147575553</v>
      </c>
      <c r="EN40" s="9">
        <f t="shared" si="96"/>
        <v>966270.37112740695</v>
      </c>
      <c r="EO40" s="9">
        <f t="shared" si="96"/>
        <v>1000089.8341168661</v>
      </c>
      <c r="EP40" s="9">
        <f t="shared" si="96"/>
        <v>1035092.9783109564</v>
      </c>
      <c r="EQ40" s="9">
        <f t="shared" si="96"/>
        <v>1071321.2325518397</v>
      </c>
      <c r="ER40" s="9">
        <f t="shared" si="96"/>
        <v>1108817.4756911539</v>
      </c>
      <c r="ES40" s="9">
        <f t="shared" si="96"/>
        <v>1147626.0873403442</v>
      </c>
      <c r="ET40" s="9">
        <f t="shared" si="96"/>
        <v>1187793.0003972561</v>
      </c>
      <c r="EU40" s="9">
        <f t="shared" si="96"/>
        <v>1229365.7554111599</v>
      </c>
      <c r="EV40" s="9">
        <f t="shared" si="96"/>
        <v>1272393.5568505505</v>
      </c>
      <c r="EW40" s="9">
        <f t="shared" si="96"/>
        <v>1316927.3313403197</v>
      </c>
      <c r="EX40" s="9">
        <f t="shared" si="96"/>
        <v>1363019.7879372309</v>
      </c>
      <c r="EY40" s="9">
        <f t="shared" si="96"/>
        <v>1410725.4805150339</v>
      </c>
      <c r="EZ40" s="9">
        <f t="shared" si="96"/>
        <v>1460100.87233306</v>
      </c>
      <c r="FA40" s="9">
        <f t="shared" si="96"/>
        <v>1511204.4028647169</v>
      </c>
      <c r="FB40" s="9">
        <f t="shared" si="96"/>
        <v>1564096.5569649818</v>
      </c>
      <c r="FC40" s="9">
        <f t="shared" si="96"/>
        <v>1618839.936458756</v>
      </c>
      <c r="FD40" s="9">
        <f t="shared" si="96"/>
        <v>1675499.3342348123</v>
      </c>
      <c r="FE40" s="9">
        <f t="shared" si="96"/>
        <v>1734141.8109330307</v>
      </c>
      <c r="FF40" s="9">
        <f t="shared" si="96"/>
        <v>1794836.7743156867</v>
      </c>
      <c r="FG40" s="9">
        <f t="shared" si="96"/>
        <v>1857656.0614167356</v>
      </c>
      <c r="FH40" s="9">
        <f t="shared" si="96"/>
        <v>1922674.0235663212</v>
      </c>
      <c r="FI40" s="9">
        <f t="shared" si="96"/>
        <v>1989967.6143911423</v>
      </c>
      <c r="FJ40" s="9">
        <f t="shared" si="96"/>
        <v>2059616.4808948322</v>
      </c>
      <c r="FK40" s="9">
        <f t="shared" si="96"/>
        <v>2131703.0577261513</v>
      </c>
      <c r="FL40" s="9">
        <f t="shared" si="96"/>
        <v>2206312.6647465662</v>
      </c>
      <c r="FM40" s="9">
        <f t="shared" si="96"/>
        <v>2283533.6080126958</v>
      </c>
    </row>
    <row r="41" spans="2:169" x14ac:dyDescent="0.45">
      <c r="B41" s="8"/>
    </row>
    <row r="42" spans="2:169" x14ac:dyDescent="0.45">
      <c r="B42" s="4" t="s">
        <v>38</v>
      </c>
      <c r="H42" s="11">
        <f t="shared" ref="H42:M42" si="97">H19/D19-1</f>
        <v>6.2563433376830568E-2</v>
      </c>
      <c r="I42" s="11">
        <f t="shared" si="97"/>
        <v>5.3205320532053291E-2</v>
      </c>
      <c r="J42" s="11">
        <f t="shared" si="97"/>
        <v>2.4719101123595433E-2</v>
      </c>
      <c r="K42" s="11">
        <f t="shared" si="97"/>
        <v>4.6800666032350113E-2</v>
      </c>
      <c r="L42" s="11">
        <f t="shared" si="97"/>
        <v>0.11434809306133586</v>
      </c>
      <c r="M42" s="11">
        <f t="shared" si="97"/>
        <v>-7.938467382015002E-2</v>
      </c>
      <c r="N42" s="13">
        <v>0.05</v>
      </c>
      <c r="V42" s="11">
        <f t="shared" ref="V42:AF42" si="98">V19/U19-1</f>
        <v>0.14241179820748773</v>
      </c>
      <c r="W42" s="11">
        <f t="shared" si="98"/>
        <v>-0.22042926112510497</v>
      </c>
      <c r="X42" s="11">
        <f t="shared" si="98"/>
        <v>1.5953687186563981E-2</v>
      </c>
      <c r="Y42" s="11">
        <f t="shared" si="98"/>
        <v>-7.6428689746562917E-2</v>
      </c>
      <c r="Z42" s="11">
        <f t="shared" si="98"/>
        <v>-2.3280005739292675E-2</v>
      </c>
      <c r="AA42" s="11">
        <f t="shared" si="98"/>
        <v>0.34981086341767975</v>
      </c>
      <c r="AB42" s="11">
        <f t="shared" si="98"/>
        <v>0.17676987538771294</v>
      </c>
      <c r="AC42" s="11">
        <f t="shared" si="98"/>
        <v>0.10725763566160329</v>
      </c>
      <c r="AD42" s="11">
        <f t="shared" si="98"/>
        <v>8.6573397368970628E-2</v>
      </c>
      <c r="AE42" s="11">
        <f t="shared" si="98"/>
        <v>3.9710008455684509E-2</v>
      </c>
      <c r="AF42" s="11">
        <f t="shared" si="98"/>
        <v>4.8481489251391174E-2</v>
      </c>
      <c r="AG42" s="11">
        <f t="shared" ref="AG42:AP42" si="99">AG19/AF19-1</f>
        <v>9.3838393098717221E-2</v>
      </c>
      <c r="AH42" s="11">
        <f t="shared" si="99"/>
        <v>8.1798595711658484E-2</v>
      </c>
      <c r="AI42" s="11">
        <f t="shared" si="99"/>
        <v>8.1749671743418073E-2</v>
      </c>
      <c r="AJ42" s="11">
        <f t="shared" si="99"/>
        <v>8.1704553433167071E-2</v>
      </c>
      <c r="AK42" s="11">
        <f t="shared" si="99"/>
        <v>8.1662944665473747E-2</v>
      </c>
      <c r="AL42" s="11">
        <f t="shared" si="99"/>
        <v>8.1624573176446225E-2</v>
      </c>
      <c r="AM42" s="11">
        <f t="shared" si="99"/>
        <v>8.1589188535662993E-2</v>
      </c>
      <c r="AN42" s="11">
        <f t="shared" si="99"/>
        <v>8.1556560311420334E-2</v>
      </c>
      <c r="AO42" s="11">
        <f t="shared" si="99"/>
        <v>8.1526476400976211E-2</v>
      </c>
      <c r="AP42" s="11">
        <f t="shared" si="99"/>
        <v>8.1498741509506312E-2</v>
      </c>
    </row>
    <row r="43" spans="2:169" x14ac:dyDescent="0.45">
      <c r="B43" s="4" t="s">
        <v>39</v>
      </c>
      <c r="D43" s="11">
        <f t="shared" ref="D43:M43" si="100">D21/D19</f>
        <v>0.49093808902421343</v>
      </c>
      <c r="E43" s="11">
        <f t="shared" si="100"/>
        <v>0.5414541454145414</v>
      </c>
      <c r="F43" s="11">
        <f t="shared" si="100"/>
        <v>0.32860061287027581</v>
      </c>
      <c r="G43" s="11">
        <f t="shared" si="100"/>
        <v>0.47912702188392009</v>
      </c>
      <c r="H43" s="11">
        <f t="shared" si="100"/>
        <v>0.59834891178276595</v>
      </c>
      <c r="I43" s="11">
        <f t="shared" si="100"/>
        <v>0.5945304339568892</v>
      </c>
      <c r="J43" s="11">
        <f t="shared" si="100"/>
        <v>0.35187400318979267</v>
      </c>
      <c r="K43" s="11">
        <f t="shared" si="100"/>
        <v>0.49059819348974609</v>
      </c>
      <c r="L43" s="11">
        <f t="shared" si="100"/>
        <v>0.42802914345190718</v>
      </c>
      <c r="M43" s="11">
        <f t="shared" si="100"/>
        <v>0.62465188241361524</v>
      </c>
      <c r="N43" s="14">
        <v>0.6</v>
      </c>
      <c r="O43"/>
      <c r="P43"/>
      <c r="Q43"/>
      <c r="R43"/>
      <c r="U43" s="11">
        <f t="shared" ref="U43:AF43" si="101">U21/U19</f>
        <v>0.79260214022361442</v>
      </c>
      <c r="V43" s="11">
        <f t="shared" si="101"/>
        <v>0.77392947103274556</v>
      </c>
      <c r="W43" s="11">
        <f t="shared" si="101"/>
        <v>0.49365554845006898</v>
      </c>
      <c r="X43" s="11">
        <f t="shared" si="101"/>
        <v>0.4735133344376346</v>
      </c>
      <c r="Y43" s="11">
        <f t="shared" si="101"/>
        <v>0.56058540784848265</v>
      </c>
      <c r="Z43" s="11">
        <f t="shared" si="101"/>
        <v>0.49201219288258841</v>
      </c>
      <c r="AA43" s="11">
        <f t="shared" si="101"/>
        <v>0.52348043750340101</v>
      </c>
      <c r="AB43" s="11">
        <f t="shared" si="101"/>
        <v>0.42567801900534091</v>
      </c>
      <c r="AC43" s="11">
        <f t="shared" si="101"/>
        <v>0.46170390478179163</v>
      </c>
      <c r="AD43" s="11">
        <f t="shared" si="101"/>
        <v>0.51153047889922365</v>
      </c>
      <c r="AE43" s="11">
        <f t="shared" si="101"/>
        <v>0.51690564273086104</v>
      </c>
      <c r="AF43" s="11">
        <f t="shared" si="101"/>
        <v>0.6</v>
      </c>
      <c r="AG43" s="13">
        <v>0.6</v>
      </c>
    </row>
    <row r="44" spans="2:169" x14ac:dyDescent="0.45">
      <c r="B44" s="4" t="s">
        <v>84</v>
      </c>
      <c r="D44" s="11">
        <f t="shared" ref="D44:M44" si="102">D32/D31</f>
        <v>0.29794988610478362</v>
      </c>
      <c r="E44" s="11">
        <f t="shared" si="102"/>
        <v>0.28013582342954158</v>
      </c>
      <c r="F44" s="11">
        <f t="shared" si="102"/>
        <v>0.19419525065963061</v>
      </c>
      <c r="G44" s="11">
        <f t="shared" si="102"/>
        <v>0.20847501961810097</v>
      </c>
      <c r="H44" s="11">
        <f t="shared" si="102"/>
        <v>0.28995633187772923</v>
      </c>
      <c r="I44" s="11">
        <f t="shared" si="102"/>
        <v>0.26742919389978215</v>
      </c>
      <c r="J44" s="11">
        <f t="shared" si="102"/>
        <v>0.18801229508196721</v>
      </c>
      <c r="K44" s="11">
        <f t="shared" si="102"/>
        <v>0.19108593942378724</v>
      </c>
      <c r="L44" s="11">
        <f t="shared" si="102"/>
        <v>0.27085377821393525</v>
      </c>
      <c r="M44" s="11">
        <f t="shared" si="102"/>
        <v>0.25040257648953301</v>
      </c>
      <c r="N44" s="13">
        <f>AVERAGE(J44,F44)</f>
        <v>0.19110377287079891</v>
      </c>
      <c r="O44" s="13">
        <f>AVERAGE(K44,G44)</f>
        <v>0.1997804795209441</v>
      </c>
      <c r="P44" s="13">
        <f>AVERAGE(D44,L44,H44)</f>
        <v>0.2862533320654827</v>
      </c>
      <c r="Q44" s="13">
        <f>AVERAGE(E44,M44,I44)</f>
        <v>0.26598919793961889</v>
      </c>
      <c r="R44" s="13">
        <f>AVERAGE(F44,J44)</f>
        <v>0.19110377287079891</v>
      </c>
      <c r="U44" s="11">
        <f t="shared" ref="U44:AF44" si="103">U32/U31</f>
        <v>0.34323956442831216</v>
      </c>
      <c r="V44" s="11">
        <f t="shared" si="103"/>
        <v>0.33217088055797733</v>
      </c>
      <c r="W44" s="11">
        <f t="shared" si="103"/>
        <v>0.34572259136212624</v>
      </c>
      <c r="X44" s="11">
        <f t="shared" si="103"/>
        <v>0.35030140656396519</v>
      </c>
      <c r="Y44" s="11">
        <f t="shared" si="103"/>
        <v>0.25681030212976719</v>
      </c>
      <c r="Z44" s="11">
        <f t="shared" si="103"/>
        <v>0.35135135135135137</v>
      </c>
      <c r="AA44" s="11">
        <f t="shared" si="103"/>
        <v>0.18624592694220546</v>
      </c>
      <c r="AB44" s="11">
        <f t="shared" si="103"/>
        <v>0.37935808684707362</v>
      </c>
      <c r="AC44" s="11">
        <f t="shared" si="103"/>
        <v>0.23795465281058101</v>
      </c>
      <c r="AD44" s="11">
        <f t="shared" si="103"/>
        <v>0.23421876578123421</v>
      </c>
      <c r="AE44" s="11">
        <f t="shared" si="103"/>
        <v>0.21533794146639768</v>
      </c>
      <c r="AF44" s="11">
        <f t="shared" si="103"/>
        <v>0.22434032181828373</v>
      </c>
      <c r="AG44" s="13">
        <v>0.25</v>
      </c>
    </row>
    <row r="45" spans="2:169" x14ac:dyDescent="0.45">
      <c r="B45" s="4" t="s">
        <v>85</v>
      </c>
      <c r="D45" s="11">
        <f t="shared" ref="D45:M45" si="104">SUM(D22:D27)/D19</f>
        <v>0.33181093228940117</v>
      </c>
      <c r="E45" s="11">
        <f t="shared" si="104"/>
        <v>0.48214821482148212</v>
      </c>
      <c r="F45" s="11">
        <f t="shared" si="104"/>
        <v>0.13503575076608784</v>
      </c>
      <c r="G45" s="11">
        <f t="shared" si="104"/>
        <v>0.25178401522359656</v>
      </c>
      <c r="H45" s="11">
        <f t="shared" si="104"/>
        <v>0.4421095722180528</v>
      </c>
      <c r="I45" s="11">
        <f t="shared" si="104"/>
        <v>0.51581046434336719</v>
      </c>
      <c r="J45" s="11">
        <f t="shared" si="104"/>
        <v>0.16038676236044658</v>
      </c>
      <c r="K45" s="11">
        <f t="shared" si="104"/>
        <v>0.25989888087257856</v>
      </c>
      <c r="L45" s="11">
        <f t="shared" si="104"/>
        <v>0.24086205840935529</v>
      </c>
      <c r="M45" s="11">
        <f t="shared" si="104"/>
        <v>0.49654461062403299</v>
      </c>
      <c r="N45" s="13">
        <f>AVERAGE(J45,F45)</f>
        <v>0.14771125656326722</v>
      </c>
      <c r="O45" s="13">
        <f>AVERAGE(K45,G45)</f>
        <v>0.25584144804808756</v>
      </c>
      <c r="P45" s="13">
        <f>AVERAGE(D45,L45,H45)</f>
        <v>0.3382608543056031</v>
      </c>
      <c r="Q45" s="13">
        <f>AVERAGE(E45,M45,I45)</f>
        <v>0.49816776326296081</v>
      </c>
      <c r="R45" s="13">
        <f>AVERAGE(F45,J45)</f>
        <v>0.14771125656326722</v>
      </c>
      <c r="U45" s="11">
        <f t="shared" ref="U45:AF45" si="105">U28/U19</f>
        <v>0.66047180839902886</v>
      </c>
      <c r="V45" s="11">
        <f t="shared" si="105"/>
        <v>0.62345193115029385</v>
      </c>
      <c r="W45" s="11">
        <f t="shared" si="105"/>
        <v>0.33156070142371513</v>
      </c>
      <c r="X45" s="11">
        <f t="shared" si="105"/>
        <v>0.32512837502070563</v>
      </c>
      <c r="Y45" s="11">
        <f t="shared" si="105"/>
        <v>0.4157400100437621</v>
      </c>
      <c r="Z45" s="11">
        <f t="shared" si="105"/>
        <v>0.35748650336038784</v>
      </c>
      <c r="AA45" s="11">
        <f t="shared" si="105"/>
        <v>0.32940632312129292</v>
      </c>
      <c r="AB45" s="11">
        <f t="shared" si="105"/>
        <v>0.2431620078148482</v>
      </c>
      <c r="AC45" s="11">
        <f t="shared" si="105"/>
        <v>0.2970975151388599</v>
      </c>
      <c r="AD45" s="11">
        <f t="shared" si="105"/>
        <v>0.34120608809285879</v>
      </c>
      <c r="AE45" s="11">
        <f t="shared" si="105"/>
        <v>0.27484455419059928</v>
      </c>
      <c r="AF45" s="11">
        <f t="shared" si="105"/>
        <v>0.30328989056628547</v>
      </c>
      <c r="AG45" s="13">
        <v>0.3</v>
      </c>
      <c r="AH45" s="11">
        <f t="shared" ref="AH45:AO45" si="106">AG45+(($AP$45-$AG$45)/($AP$1-$AG$1))</f>
        <v>0.28888888888888886</v>
      </c>
      <c r="AI45" s="11">
        <f t="shared" si="106"/>
        <v>0.27777777777777773</v>
      </c>
      <c r="AJ45" s="11">
        <f t="shared" si="106"/>
        <v>0.26666666666666661</v>
      </c>
      <c r="AK45" s="11">
        <f t="shared" si="106"/>
        <v>0.25555555555555548</v>
      </c>
      <c r="AL45" s="11">
        <f t="shared" si="106"/>
        <v>0.24444444444444438</v>
      </c>
      <c r="AM45" s="11">
        <f t="shared" si="106"/>
        <v>0.23333333333333328</v>
      </c>
      <c r="AN45" s="11">
        <f t="shared" si="106"/>
        <v>0.22222222222222218</v>
      </c>
      <c r="AO45" s="11">
        <f t="shared" si="106"/>
        <v>0.21111111111111108</v>
      </c>
      <c r="AP45" s="13">
        <v>0.2</v>
      </c>
      <c r="AU45" s="3" t="s">
        <v>98</v>
      </c>
      <c r="AV45" s="13">
        <v>3.5000000000000003E-2</v>
      </c>
    </row>
    <row r="46" spans="2:169" x14ac:dyDescent="0.45">
      <c r="B46" s="4" t="s">
        <v>128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/>
      <c r="O46"/>
      <c r="P46"/>
      <c r="Q46"/>
      <c r="R46"/>
      <c r="S46"/>
      <c r="U46" s="11">
        <f>U26/U19</f>
        <v>1.9363927939809959E-2</v>
      </c>
      <c r="V46" s="11">
        <f t="shared" ref="V46:AD46" si="107">V26/V19</f>
        <v>6.6383291351805205E-3</v>
      </c>
      <c r="W46" s="11">
        <f t="shared" si="107"/>
        <v>8.3134192723233816E-3</v>
      </c>
      <c r="X46" s="11">
        <f t="shared" si="107"/>
        <v>9.5742918668212697E-3</v>
      </c>
      <c r="Y46" s="11">
        <f t="shared" si="107"/>
        <v>1.1873161632828753E-2</v>
      </c>
      <c r="Z46" s="11">
        <f t="shared" si="107"/>
        <v>1.2560138088067869E-2</v>
      </c>
      <c r="AA46" s="11">
        <f t="shared" si="107"/>
        <v>1.7766773684496924E-2</v>
      </c>
      <c r="AB46" s="11">
        <f t="shared" si="107"/>
        <v>1.6993826732329888E-2</v>
      </c>
      <c r="AC46" s="11">
        <f t="shared" si="107"/>
        <v>1.3468365003132178E-2</v>
      </c>
      <c r="AD46" s="11">
        <f t="shared" si="107"/>
        <v>1.527788454147129E-2</v>
      </c>
      <c r="AE46" s="14">
        <v>0.02</v>
      </c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U46" s="3" t="s">
        <v>99</v>
      </c>
      <c r="AV46" s="13">
        <v>0.01</v>
      </c>
    </row>
    <row r="47" spans="2:169" x14ac:dyDescent="0.45">
      <c r="B47" s="4" t="s">
        <v>129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/>
      <c r="O47"/>
      <c r="P47"/>
      <c r="Q47"/>
      <c r="R47"/>
      <c r="S47"/>
      <c r="U47" s="11"/>
      <c r="V47" s="11">
        <f>V39/V19</f>
        <v>1.7501049538203192E-2</v>
      </c>
      <c r="W47" s="11">
        <f t="shared" ref="W47:AD47" si="108">W39/W19</f>
        <v>-1.6492208273030191E-3</v>
      </c>
      <c r="X47" s="11">
        <f t="shared" si="108"/>
        <v>5.7644525426536362E-3</v>
      </c>
      <c r="Y47" s="11">
        <f t="shared" si="108"/>
        <v>-1.8652701054595021E-3</v>
      </c>
      <c r="Z47" s="11">
        <f t="shared" si="108"/>
        <v>-2.717690697418194E-3</v>
      </c>
      <c r="AA47" s="11">
        <f t="shared" si="108"/>
        <v>3.90977852750721E-2</v>
      </c>
      <c r="AB47" s="11">
        <f t="shared" si="108"/>
        <v>-9.965087512427459E-3</v>
      </c>
      <c r="AC47" s="11">
        <f t="shared" si="108"/>
        <v>9.1668406765504275E-3</v>
      </c>
      <c r="AD47" s="11">
        <f t="shared" si="108"/>
        <v>-1.671919440387424E-3</v>
      </c>
      <c r="AE47" s="14">
        <v>0.04</v>
      </c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U47" s="3" t="s">
        <v>100</v>
      </c>
      <c r="AV47" s="13">
        <v>0.16</v>
      </c>
    </row>
    <row r="48" spans="2:169" x14ac:dyDescent="0.45">
      <c r="B48" s="4" t="s">
        <v>130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/>
      <c r="O48"/>
      <c r="P48"/>
      <c r="Q48"/>
      <c r="R48"/>
      <c r="S48"/>
      <c r="U48" s="11"/>
      <c r="V48" s="11">
        <f>V38/V19</f>
        <v>0.13565281276238456</v>
      </c>
      <c r="W48" s="11">
        <f t="shared" ref="W48:AD48" si="109">W38/W19</f>
        <v>-9.2827572279627069E-2</v>
      </c>
      <c r="X48" s="11">
        <f t="shared" si="109"/>
        <v>6.347523604439291E-2</v>
      </c>
      <c r="Y48" s="11">
        <f t="shared" si="109"/>
        <v>-9.9325633115718487E-2</v>
      </c>
      <c r="Z48" s="11">
        <f t="shared" si="109"/>
        <v>-8.366080282052224E-2</v>
      </c>
      <c r="AA48" s="11">
        <f t="shared" si="109"/>
        <v>0.18735375741415899</v>
      </c>
      <c r="AB48" s="11">
        <f t="shared" si="109"/>
        <v>2.272779820119766E-2</v>
      </c>
      <c r="AC48" s="11">
        <f t="shared" si="109"/>
        <v>-1.1923157235330967E-2</v>
      </c>
      <c r="AD48" s="11">
        <f t="shared" si="109"/>
        <v>3.8953801214543775E-2</v>
      </c>
      <c r="AE48" s="14">
        <v>0.05</v>
      </c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U48" s="3" t="s">
        <v>101</v>
      </c>
      <c r="AV48" s="3">
        <f>NPV(AV47,AE33:FA33)-Main!H7+Main!H6</f>
        <v>138816.43447173346</v>
      </c>
    </row>
    <row r="49" spans="2:48" x14ac:dyDescent="0.45">
      <c r="B49" s="4"/>
      <c r="AU49" s="9" t="s">
        <v>3</v>
      </c>
      <c r="AV49" s="16">
        <f>AV48/Main!H4</f>
        <v>3088.7844400241415</v>
      </c>
    </row>
    <row r="50" spans="2:48" x14ac:dyDescent="0.45">
      <c r="J50" s="3">
        <f>J55+J56</f>
        <v>8680</v>
      </c>
      <c r="K50" s="3">
        <f>J50+K33</f>
        <v>11965</v>
      </c>
      <c r="L50" s="3">
        <f>K50+L33</f>
        <v>14194</v>
      </c>
      <c r="M50" s="3">
        <f>L50+M33</f>
        <v>15125</v>
      </c>
      <c r="N50" s="3">
        <f>M50+N33</f>
        <v>18955.992174503612</v>
      </c>
      <c r="AE50" s="3">
        <f>N50</f>
        <v>18955.992174503612</v>
      </c>
      <c r="AF50" s="3">
        <f>AE50+AF33</f>
        <v>32011.099802257948</v>
      </c>
      <c r="AG50" s="3">
        <f t="shared" ref="AG50:AP50" si="110">AF50+AG33</f>
        <v>45971.972853688028</v>
      </c>
      <c r="AH50" s="3">
        <f t="shared" si="110"/>
        <v>61634.190636446641</v>
      </c>
      <c r="AI50" s="3">
        <f t="shared" si="110"/>
        <v>79181.882401193725</v>
      </c>
      <c r="AJ50" s="3">
        <f t="shared" si="110"/>
        <v>98817.832143437117</v>
      </c>
      <c r="AK50" s="3">
        <f t="shared" si="110"/>
        <v>120765.2940035853</v>
      </c>
      <c r="AL50" s="3">
        <f t="shared" si="110"/>
        <v>145269.97949188371</v>
      </c>
      <c r="AM50" s="3">
        <f t="shared" si="110"/>
        <v>172602.23247488812</v>
      </c>
      <c r="AN50" s="3">
        <f t="shared" si="110"/>
        <v>203059.40931559217</v>
      </c>
      <c r="AO50" s="3">
        <f t="shared" si="110"/>
        <v>236968.48314611224</v>
      </c>
      <c r="AP50" s="3">
        <f t="shared" si="110"/>
        <v>274688.8929816715</v>
      </c>
      <c r="AU50" s="3" t="s">
        <v>102</v>
      </c>
      <c r="AV50" s="11">
        <f>AV49/Main!H3-1</f>
        <v>-0.42288903711141468</v>
      </c>
    </row>
    <row r="51" spans="2:48" x14ac:dyDescent="0.45">
      <c r="B51" s="4" t="s">
        <v>83</v>
      </c>
    </row>
    <row r="52" spans="2:48" x14ac:dyDescent="0.45">
      <c r="B52" s="6" t="s">
        <v>56</v>
      </c>
      <c r="J52" s="3">
        <v>18072</v>
      </c>
    </row>
    <row r="53" spans="2:48" x14ac:dyDescent="0.45">
      <c r="B53" s="4" t="s">
        <v>57</v>
      </c>
      <c r="J53" s="3">
        <v>411</v>
      </c>
      <c r="U53" s="3">
        <v>5495</v>
      </c>
      <c r="V53" s="3">
        <v>5864</v>
      </c>
      <c r="W53" s="3">
        <v>6646</v>
      </c>
      <c r="X53" s="3">
        <v>7681</v>
      </c>
      <c r="Y53" s="3">
        <v>7399</v>
      </c>
      <c r="Z53" s="3">
        <v>8781</v>
      </c>
      <c r="AA53" s="3">
        <v>9635</v>
      </c>
      <c r="AB53" s="3">
        <v>13251</v>
      </c>
      <c r="AC53" s="3">
        <v>15120</v>
      </c>
      <c r="AD53" s="3">
        <v>18072</v>
      </c>
    </row>
    <row r="54" spans="2:48" x14ac:dyDescent="0.45">
      <c r="B54" s="4" t="s">
        <v>58</v>
      </c>
      <c r="J54" s="3">
        <v>9756</v>
      </c>
      <c r="U54" s="3">
        <v>3</v>
      </c>
      <c r="V54" s="3">
        <v>254</v>
      </c>
      <c r="W54" s="3">
        <v>364</v>
      </c>
      <c r="X54" s="3">
        <v>497</v>
      </c>
      <c r="Y54" s="3">
        <v>0</v>
      </c>
      <c r="Z54" s="3">
        <v>0</v>
      </c>
      <c r="AA54" s="3">
        <v>408</v>
      </c>
      <c r="AB54" s="3">
        <v>522</v>
      </c>
      <c r="AC54" s="3">
        <v>385</v>
      </c>
      <c r="AD54" s="3">
        <v>411</v>
      </c>
    </row>
    <row r="55" spans="2:48" x14ac:dyDescent="0.45">
      <c r="B55" s="4" t="s">
        <v>59</v>
      </c>
      <c r="J55" s="3">
        <v>8608</v>
      </c>
      <c r="U55" s="3">
        <v>4099</v>
      </c>
      <c r="V55" s="3">
        <v>4816</v>
      </c>
      <c r="W55" s="3">
        <v>4050</v>
      </c>
      <c r="X55" s="3">
        <v>5565</v>
      </c>
      <c r="Y55" s="3">
        <v>6588</v>
      </c>
      <c r="Z55" s="3">
        <v>5937</v>
      </c>
      <c r="AA55" s="3">
        <v>7180</v>
      </c>
      <c r="AB55" s="3">
        <v>7549</v>
      </c>
      <c r="AC55" s="3">
        <v>10047</v>
      </c>
      <c r="AD55" s="3">
        <v>9756</v>
      </c>
    </row>
    <row r="56" spans="2:48" x14ac:dyDescent="0.45">
      <c r="B56" s="4" t="s">
        <v>7</v>
      </c>
      <c r="J56" s="3">
        <v>72</v>
      </c>
      <c r="U56" s="3">
        <v>4862</v>
      </c>
      <c r="V56" s="3">
        <v>11297</v>
      </c>
      <c r="W56" s="3">
        <v>7624</v>
      </c>
      <c r="X56" s="3">
        <v>8380</v>
      </c>
      <c r="Y56" s="3">
        <v>4166</v>
      </c>
      <c r="Z56" s="3">
        <v>3269</v>
      </c>
      <c r="AA56" s="3">
        <v>10669</v>
      </c>
      <c r="AB56" s="3">
        <v>12045</v>
      </c>
      <c r="AC56" s="3">
        <v>7809</v>
      </c>
      <c r="AD56" s="3">
        <v>8608</v>
      </c>
    </row>
    <row r="57" spans="2:48" x14ac:dyDescent="0.45">
      <c r="B57" s="4" t="s">
        <v>60</v>
      </c>
      <c r="J57" s="3">
        <v>98</v>
      </c>
      <c r="V57" s="3">
        <v>7</v>
      </c>
      <c r="W57" s="3">
        <v>8</v>
      </c>
      <c r="X57" s="3">
        <v>10</v>
      </c>
      <c r="Y57" s="3">
        <v>12</v>
      </c>
      <c r="Z57" s="3">
        <v>14</v>
      </c>
      <c r="AA57" s="3">
        <v>41</v>
      </c>
      <c r="AB57" s="3">
        <v>50</v>
      </c>
      <c r="AC57" s="3">
        <v>65</v>
      </c>
      <c r="AD57" s="3">
        <v>72</v>
      </c>
    </row>
    <row r="58" spans="2:48" x14ac:dyDescent="0.45">
      <c r="B58" s="4" t="s">
        <v>61</v>
      </c>
      <c r="J58" s="3">
        <v>1947</v>
      </c>
      <c r="U58" s="3">
        <v>4039</v>
      </c>
      <c r="V58" s="3">
        <v>585</v>
      </c>
      <c r="W58" s="3">
        <v>866</v>
      </c>
      <c r="X58" s="3">
        <v>988</v>
      </c>
      <c r="Y58" s="3">
        <v>501</v>
      </c>
      <c r="Z58" s="3">
        <v>468</v>
      </c>
      <c r="AA58" s="3">
        <v>91</v>
      </c>
      <c r="AB58" s="3">
        <v>77</v>
      </c>
      <c r="AC58" s="3">
        <v>102</v>
      </c>
      <c r="AD58" s="3">
        <v>98</v>
      </c>
    </row>
    <row r="59" spans="2:48" x14ac:dyDescent="0.45">
      <c r="B59" s="4" t="s">
        <v>62</v>
      </c>
      <c r="J59" s="7">
        <f>SUM(J52:J58)</f>
        <v>38964</v>
      </c>
      <c r="U59" s="3">
        <v>31</v>
      </c>
      <c r="V59" s="3">
        <v>622</v>
      </c>
      <c r="W59" s="3">
        <v>661</v>
      </c>
      <c r="X59" s="3">
        <v>621</v>
      </c>
      <c r="Y59" s="3">
        <v>2095</v>
      </c>
      <c r="Z59" s="3">
        <v>2439</v>
      </c>
      <c r="AA59" s="3">
        <v>2120</v>
      </c>
      <c r="AB59" s="3">
        <v>1945</v>
      </c>
      <c r="AC59" s="3">
        <v>2227</v>
      </c>
      <c r="AD59" s="3">
        <v>1947</v>
      </c>
    </row>
    <row r="60" spans="2:48" x14ac:dyDescent="0.45">
      <c r="B60" s="6" t="s">
        <v>63</v>
      </c>
      <c r="J60" s="3">
        <v>4284</v>
      </c>
      <c r="U60" s="7">
        <f t="shared" ref="U60:AC60" si="111">SUM(U53:U59)</f>
        <v>18529</v>
      </c>
      <c r="V60" s="7">
        <f t="shared" si="111"/>
        <v>23445</v>
      </c>
      <c r="W60" s="7">
        <f t="shared" si="111"/>
        <v>20219</v>
      </c>
      <c r="X60" s="7">
        <f t="shared" si="111"/>
        <v>23742</v>
      </c>
      <c r="Y60" s="7">
        <f t="shared" si="111"/>
        <v>20761</v>
      </c>
      <c r="Z60" s="7">
        <f t="shared" si="111"/>
        <v>20908</v>
      </c>
      <c r="AA60" s="7">
        <f t="shared" si="111"/>
        <v>30144</v>
      </c>
      <c r="AB60" s="7">
        <f t="shared" si="111"/>
        <v>35439</v>
      </c>
      <c r="AC60" s="7">
        <f t="shared" si="111"/>
        <v>35755</v>
      </c>
      <c r="AD60" s="7">
        <f>SUM(AD53:AD59)</f>
        <v>38964</v>
      </c>
    </row>
    <row r="61" spans="2:48" x14ac:dyDescent="0.45">
      <c r="B61" s="4" t="s">
        <v>64</v>
      </c>
      <c r="J61" s="3">
        <v>29</v>
      </c>
      <c r="U61" s="3">
        <v>2260</v>
      </c>
      <c r="V61" s="3">
        <v>2927</v>
      </c>
      <c r="W61" s="3">
        <v>2878</v>
      </c>
      <c r="X61" s="3">
        <v>3052</v>
      </c>
      <c r="Y61" s="3">
        <v>3000</v>
      </c>
      <c r="Z61" s="3">
        <v>2926</v>
      </c>
      <c r="AA61" s="3">
        <v>4363</v>
      </c>
      <c r="AB61" s="3">
        <v>3932</v>
      </c>
      <c r="AC61" s="3">
        <v>4371</v>
      </c>
      <c r="AD61" s="3">
        <v>4284</v>
      </c>
    </row>
    <row r="62" spans="2:48" x14ac:dyDescent="0.45">
      <c r="B62" s="4" t="s">
        <v>65</v>
      </c>
      <c r="J62" s="3">
        <v>256</v>
      </c>
      <c r="U62" s="3">
        <v>2168</v>
      </c>
      <c r="V62" s="3">
        <v>2</v>
      </c>
      <c r="W62" s="3">
        <v>67</v>
      </c>
      <c r="X62" s="3">
        <v>10</v>
      </c>
      <c r="Y62" s="3">
        <v>12</v>
      </c>
      <c r="Z62" s="3">
        <v>7</v>
      </c>
      <c r="AA62" s="3">
        <v>36</v>
      </c>
      <c r="AB62" s="3">
        <v>76</v>
      </c>
      <c r="AC62" s="3">
        <v>133</v>
      </c>
      <c r="AD62" s="3">
        <v>29</v>
      </c>
    </row>
    <row r="63" spans="2:48" x14ac:dyDescent="0.45">
      <c r="B63" s="4" t="s">
        <v>66</v>
      </c>
      <c r="J63" s="3">
        <v>84</v>
      </c>
      <c r="V63" s="3">
        <v>317</v>
      </c>
      <c r="W63" s="3">
        <v>312</v>
      </c>
      <c r="X63" s="3">
        <v>307</v>
      </c>
      <c r="Y63" s="3">
        <v>302</v>
      </c>
      <c r="Z63" s="3">
        <v>299</v>
      </c>
      <c r="AA63" s="3">
        <v>305</v>
      </c>
      <c r="AB63" s="3">
        <v>300</v>
      </c>
      <c r="AC63" s="3">
        <v>261</v>
      </c>
      <c r="AD63" s="3">
        <v>256</v>
      </c>
    </row>
    <row r="64" spans="2:48" x14ac:dyDescent="0.45">
      <c r="B64" s="4" t="s">
        <v>67</v>
      </c>
      <c r="J64" s="3">
        <v>1063</v>
      </c>
      <c r="U64" s="3">
        <v>18</v>
      </c>
      <c r="V64" s="3">
        <v>8</v>
      </c>
      <c r="W64" s="3">
        <v>25</v>
      </c>
      <c r="X64" s="3">
        <v>61</v>
      </c>
      <c r="Y64" s="3">
        <v>42</v>
      </c>
      <c r="Z64" s="3">
        <v>22</v>
      </c>
      <c r="AA64" s="3">
        <v>17</v>
      </c>
      <c r="AB64" s="3">
        <v>15</v>
      </c>
      <c r="AC64" s="3">
        <v>43</v>
      </c>
      <c r="AD64" s="3">
        <v>84</v>
      </c>
    </row>
    <row r="65" spans="2:30" x14ac:dyDescent="0.45">
      <c r="B65" s="4" t="s">
        <v>68</v>
      </c>
      <c r="U65" s="3">
        <v>0</v>
      </c>
      <c r="V65" s="3">
        <v>4</v>
      </c>
      <c r="W65" s="3">
        <v>102</v>
      </c>
      <c r="X65" s="3">
        <v>231</v>
      </c>
      <c r="Y65" s="3">
        <v>349</v>
      </c>
      <c r="Z65" s="3">
        <v>400</v>
      </c>
      <c r="AA65" s="3">
        <v>523</v>
      </c>
      <c r="AB65" s="3">
        <v>687</v>
      </c>
      <c r="AC65" s="3">
        <v>850</v>
      </c>
      <c r="AD65" s="3">
        <v>1063</v>
      </c>
    </row>
    <row r="66" spans="2:30" x14ac:dyDescent="0.45">
      <c r="B66" s="4" t="s">
        <v>58</v>
      </c>
      <c r="J66" s="3">
        <v>54</v>
      </c>
      <c r="U66" s="3">
        <v>34</v>
      </c>
      <c r="V66" s="3">
        <v>0</v>
      </c>
      <c r="W66" s="3">
        <v>0</v>
      </c>
      <c r="X66" s="3">
        <v>0</v>
      </c>
      <c r="Y66" s="3">
        <v>0</v>
      </c>
      <c r="Z66" s="3">
        <v>3509</v>
      </c>
    </row>
    <row r="67" spans="2:30" x14ac:dyDescent="0.45">
      <c r="B67" s="4" t="s">
        <v>61</v>
      </c>
      <c r="J67" s="3">
        <v>1768</v>
      </c>
      <c r="U67" s="3">
        <v>721</v>
      </c>
      <c r="V67" s="3">
        <v>91</v>
      </c>
      <c r="W67" s="3">
        <v>135</v>
      </c>
      <c r="X67" s="3">
        <v>160</v>
      </c>
      <c r="Y67" s="3">
        <v>174</v>
      </c>
      <c r="Z67" s="3">
        <v>176</v>
      </c>
      <c r="AA67" s="3">
        <v>202</v>
      </c>
      <c r="AB67" s="3">
        <v>151</v>
      </c>
      <c r="AC67" s="3">
        <v>68</v>
      </c>
      <c r="AD67" s="3">
        <v>54</v>
      </c>
    </row>
    <row r="68" spans="2:30" x14ac:dyDescent="0.45">
      <c r="B68" s="4" t="s">
        <v>69</v>
      </c>
      <c r="U68" s="3">
        <v>139</v>
      </c>
      <c r="V68" s="3">
        <v>92</v>
      </c>
      <c r="W68" s="3">
        <v>26</v>
      </c>
      <c r="X68" s="3">
        <v>0</v>
      </c>
      <c r="Y68" s="3">
        <v>0</v>
      </c>
      <c r="Z68" s="3">
        <v>45</v>
      </c>
      <c r="AA68" s="3">
        <v>2245</v>
      </c>
      <c r="AB68" s="3">
        <v>1359</v>
      </c>
      <c r="AC68" s="3">
        <v>1716</v>
      </c>
      <c r="AD68" s="3">
        <v>1768</v>
      </c>
    </row>
    <row r="69" spans="2:30" x14ac:dyDescent="0.45">
      <c r="B69" s="4" t="s">
        <v>70</v>
      </c>
      <c r="J69" s="3">
        <v>284</v>
      </c>
      <c r="V69" s="3">
        <v>445</v>
      </c>
      <c r="W69" s="3">
        <v>447</v>
      </c>
      <c r="X69" s="3">
        <v>435</v>
      </c>
      <c r="Y69" s="3">
        <v>439</v>
      </c>
      <c r="Z69" s="3">
        <v>442</v>
      </c>
      <c r="AA69" s="3">
        <v>270</v>
      </c>
      <c r="AB69" s="3">
        <v>179</v>
      </c>
      <c r="AC69" s="3">
        <v>73</v>
      </c>
    </row>
    <row r="70" spans="2:30" x14ac:dyDescent="0.45">
      <c r="B70" s="4" t="s">
        <v>62</v>
      </c>
      <c r="J70" s="7">
        <f>SUM(J60:J69)</f>
        <v>7822</v>
      </c>
      <c r="V70" s="3">
        <v>164</v>
      </c>
      <c r="W70" s="3">
        <v>157</v>
      </c>
      <c r="X70" s="3">
        <v>256</v>
      </c>
      <c r="Y70" s="3">
        <v>269</v>
      </c>
      <c r="Z70" s="3">
        <v>281</v>
      </c>
      <c r="AA70" s="3">
        <v>252</v>
      </c>
      <c r="AB70" s="3">
        <v>255</v>
      </c>
      <c r="AC70" s="3">
        <v>259</v>
      </c>
      <c r="AD70" s="3">
        <v>284</v>
      </c>
    </row>
    <row r="71" spans="2:30" x14ac:dyDescent="0.45">
      <c r="B71" s="6" t="s">
        <v>71</v>
      </c>
      <c r="J71" s="9">
        <f>J70+J59</f>
        <v>46786</v>
      </c>
      <c r="U71" s="7">
        <f t="shared" ref="U71:AC71" si="112">SUM(U61:U70)</f>
        <v>5340</v>
      </c>
      <c r="V71" s="7">
        <f>SUM(V61:V70)</f>
        <v>4050</v>
      </c>
      <c r="W71" s="7">
        <f>SUM(W61:W70)</f>
        <v>4149</v>
      </c>
      <c r="X71" s="7">
        <f t="shared" si="112"/>
        <v>4512</v>
      </c>
      <c r="Y71" s="7">
        <f t="shared" si="112"/>
        <v>4587</v>
      </c>
      <c r="Z71" s="7">
        <f t="shared" si="112"/>
        <v>8107</v>
      </c>
      <c r="AA71" s="7">
        <f t="shared" si="112"/>
        <v>8213</v>
      </c>
      <c r="AB71" s="7">
        <f t="shared" si="112"/>
        <v>6954</v>
      </c>
      <c r="AC71" s="7">
        <f t="shared" si="112"/>
        <v>7774</v>
      </c>
      <c r="AD71" s="7">
        <f>SUM(AD61:AD70)</f>
        <v>7822</v>
      </c>
    </row>
    <row r="72" spans="2:30" x14ac:dyDescent="0.45">
      <c r="B72" s="8" t="s">
        <v>72</v>
      </c>
      <c r="J72" s="9"/>
      <c r="U72" s="9">
        <f t="shared" ref="U72:AC72" si="113">U71+U60</f>
        <v>23869</v>
      </c>
      <c r="V72" s="9">
        <f t="shared" si="113"/>
        <v>27495</v>
      </c>
      <c r="W72" s="9">
        <f t="shared" si="113"/>
        <v>24368</v>
      </c>
      <c r="X72" s="9">
        <f t="shared" si="113"/>
        <v>28254</v>
      </c>
      <c r="Y72" s="9">
        <f t="shared" si="113"/>
        <v>25348</v>
      </c>
      <c r="Z72" s="9">
        <f t="shared" si="113"/>
        <v>29015</v>
      </c>
      <c r="AA72" s="9">
        <f t="shared" si="113"/>
        <v>38357</v>
      </c>
      <c r="AB72" s="9">
        <f t="shared" si="113"/>
        <v>42393</v>
      </c>
      <c r="AC72" s="9">
        <f t="shared" si="113"/>
        <v>43529</v>
      </c>
      <c r="AD72" s="9">
        <f>AD71+AD60</f>
        <v>46786</v>
      </c>
    </row>
    <row r="73" spans="2:30" x14ac:dyDescent="0.45">
      <c r="B73" s="4" t="s">
        <v>120</v>
      </c>
      <c r="J73" s="3">
        <v>371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15</v>
      </c>
      <c r="AB73" s="3">
        <v>0</v>
      </c>
      <c r="AC73" s="3">
        <v>0</v>
      </c>
      <c r="AD73" s="3">
        <v>0</v>
      </c>
    </row>
    <row r="74" spans="2:30" x14ac:dyDescent="0.45">
      <c r="B74" s="4" t="s">
        <v>73</v>
      </c>
      <c r="J74" s="3">
        <f>117+8615</f>
        <v>8732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346</v>
      </c>
      <c r="AD74" s="3">
        <v>371</v>
      </c>
    </row>
    <row r="75" spans="2:30" x14ac:dyDescent="0.45">
      <c r="B75" s="4" t="s">
        <v>74</v>
      </c>
      <c r="J75" s="3">
        <v>444</v>
      </c>
      <c r="U75" s="3">
        <v>2872</v>
      </c>
      <c r="V75" s="3">
        <v>2057</v>
      </c>
      <c r="W75" s="3">
        <v>2043</v>
      </c>
      <c r="X75" s="3">
        <v>2874</v>
      </c>
      <c r="Y75" s="3">
        <f>14+2824</f>
        <v>2838</v>
      </c>
      <c r="Z75" s="3">
        <f>14+4976</f>
        <v>4990</v>
      </c>
      <c r="AA75" s="3">
        <f>38+4711</f>
        <v>4749</v>
      </c>
      <c r="AB75" s="3">
        <f>192+8111</f>
        <v>8303</v>
      </c>
      <c r="AC75" s="3">
        <f>154+8044</f>
        <v>8198</v>
      </c>
      <c r="AD75" s="3">
        <f>117+8615</f>
        <v>8732</v>
      </c>
    </row>
    <row r="76" spans="2:30" x14ac:dyDescent="0.45">
      <c r="B76" s="4" t="s">
        <v>61</v>
      </c>
      <c r="J76" s="3">
        <v>7069</v>
      </c>
      <c r="U76" s="3">
        <v>0</v>
      </c>
      <c r="V76" s="3">
        <v>273</v>
      </c>
      <c r="W76" s="3">
        <v>176</v>
      </c>
      <c r="X76" s="3">
        <v>577</v>
      </c>
      <c r="Y76" s="3">
        <v>505</v>
      </c>
      <c r="Z76" s="3">
        <v>493</v>
      </c>
      <c r="AA76" s="3">
        <v>981</v>
      </c>
      <c r="AB76" s="3">
        <v>732</v>
      </c>
      <c r="AC76" s="3">
        <v>444</v>
      </c>
      <c r="AD76" s="3">
        <v>444</v>
      </c>
    </row>
    <row r="77" spans="2:30" x14ac:dyDescent="0.45">
      <c r="B77" s="4" t="s">
        <v>62</v>
      </c>
      <c r="J77" s="3">
        <v>1130</v>
      </c>
      <c r="U77" s="3">
        <v>2559</v>
      </c>
      <c r="V77" s="3">
        <v>1229</v>
      </c>
      <c r="W77" s="3">
        <v>1081</v>
      </c>
      <c r="X77" s="3">
        <v>1206</v>
      </c>
      <c r="Y77" s="3">
        <v>1285</v>
      </c>
      <c r="Z77" s="3">
        <v>2914</v>
      </c>
      <c r="AA77" s="3">
        <v>4793</v>
      </c>
      <c r="AB77" s="3">
        <v>5494</v>
      </c>
      <c r="AC77" s="3">
        <v>6348</v>
      </c>
      <c r="AD77" s="3">
        <v>7069</v>
      </c>
    </row>
    <row r="78" spans="2:30" x14ac:dyDescent="0.45">
      <c r="B78" s="4" t="s">
        <v>75</v>
      </c>
      <c r="J78" s="3">
        <v>29</v>
      </c>
      <c r="U78" s="3">
        <v>515</v>
      </c>
      <c r="V78" s="3">
        <v>2038</v>
      </c>
      <c r="W78" s="3">
        <v>1909</v>
      </c>
      <c r="X78" s="3">
        <v>2122</v>
      </c>
      <c r="Y78" s="3">
        <v>1939</v>
      </c>
      <c r="Z78" s="3">
        <v>621</v>
      </c>
      <c r="AA78" s="3">
        <v>744</v>
      </c>
      <c r="AB78" s="3">
        <v>637</v>
      </c>
      <c r="AC78" s="3">
        <v>1098</v>
      </c>
      <c r="AD78" s="3">
        <v>1130</v>
      </c>
    </row>
    <row r="79" spans="2:30" x14ac:dyDescent="0.45">
      <c r="B79" s="4" t="s">
        <v>76</v>
      </c>
      <c r="J79" s="7">
        <f>SUM(J73:J78)</f>
        <v>17775</v>
      </c>
      <c r="U79" s="3">
        <v>0</v>
      </c>
      <c r="V79" s="3">
        <v>95</v>
      </c>
      <c r="W79" s="3">
        <v>15</v>
      </c>
      <c r="X79" s="3">
        <v>52</v>
      </c>
      <c r="Y79" s="3">
        <v>52</v>
      </c>
      <c r="Z79" s="3">
        <v>26</v>
      </c>
      <c r="AA79" s="3">
        <v>112</v>
      </c>
      <c r="AB79" s="3">
        <v>540</v>
      </c>
      <c r="AC79" s="3">
        <v>159</v>
      </c>
      <c r="AD79" s="3">
        <v>29</v>
      </c>
    </row>
    <row r="80" spans="2:30" x14ac:dyDescent="0.45">
      <c r="B80" s="6" t="s">
        <v>77</v>
      </c>
      <c r="J80" s="7"/>
      <c r="U80" s="7">
        <f t="shared" ref="U80:Z80" si="114">SUM(U74:U79)</f>
        <v>5946</v>
      </c>
      <c r="V80" s="7">
        <f t="shared" si="114"/>
        <v>5692</v>
      </c>
      <c r="W80" s="7">
        <f t="shared" si="114"/>
        <v>5224</v>
      </c>
      <c r="X80" s="7">
        <f t="shared" si="114"/>
        <v>6831</v>
      </c>
      <c r="Y80" s="7">
        <f t="shared" si="114"/>
        <v>6619</v>
      </c>
      <c r="Z80" s="7">
        <f t="shared" si="114"/>
        <v>9044</v>
      </c>
      <c r="AA80" s="7">
        <f>SUM(AA73:AA79)</f>
        <v>11394</v>
      </c>
      <c r="AB80" s="7">
        <f>SUM(AB73:AB79)</f>
        <v>15706</v>
      </c>
      <c r="AC80" s="7">
        <f t="shared" ref="AC80:AD80" si="115">SUM(AC73:AC79)</f>
        <v>16593</v>
      </c>
      <c r="AD80" s="7">
        <f t="shared" si="115"/>
        <v>17775</v>
      </c>
    </row>
    <row r="81" spans="2:30" x14ac:dyDescent="0.45">
      <c r="B81" s="4" t="s">
        <v>121</v>
      </c>
      <c r="J81" s="3">
        <v>364</v>
      </c>
      <c r="U81" s="3">
        <v>99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138</v>
      </c>
      <c r="AB81" s="3">
        <v>141</v>
      </c>
      <c r="AC81" s="3">
        <v>0</v>
      </c>
      <c r="AD81" s="3">
        <v>0</v>
      </c>
    </row>
    <row r="82" spans="2:30" x14ac:dyDescent="0.45">
      <c r="B82" s="4" t="s">
        <v>73</v>
      </c>
      <c r="J82" s="3">
        <v>1523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518</v>
      </c>
      <c r="AD82" s="3">
        <v>364</v>
      </c>
    </row>
    <row r="83" spans="2:30" x14ac:dyDescent="0.45">
      <c r="B83" s="4" t="s">
        <v>75</v>
      </c>
      <c r="J83" s="3">
        <v>3</v>
      </c>
      <c r="U83" s="3">
        <v>401</v>
      </c>
      <c r="V83" s="3">
        <v>697</v>
      </c>
      <c r="W83" s="3">
        <v>750</v>
      </c>
      <c r="X83" s="3">
        <v>836</v>
      </c>
      <c r="Y83" s="3">
        <v>842</v>
      </c>
      <c r="Z83" s="3">
        <v>1137</v>
      </c>
      <c r="AA83" s="3">
        <v>1100</v>
      </c>
      <c r="AB83" s="3">
        <v>1043</v>
      </c>
      <c r="AC83" s="3">
        <v>1175</v>
      </c>
      <c r="AD83" s="3">
        <v>1523</v>
      </c>
    </row>
    <row r="84" spans="2:30" x14ac:dyDescent="0.45">
      <c r="B84" s="4" t="s">
        <v>78</v>
      </c>
      <c r="J84" s="7">
        <f>SUM(J81:J83)</f>
        <v>1890</v>
      </c>
      <c r="U84" s="3">
        <v>0</v>
      </c>
      <c r="V84" s="3">
        <v>0</v>
      </c>
      <c r="W84" s="3">
        <v>0</v>
      </c>
      <c r="X84" s="3">
        <v>20</v>
      </c>
      <c r="Y84" s="3">
        <v>104</v>
      </c>
      <c r="Z84" s="3">
        <v>0</v>
      </c>
      <c r="AA84" s="3">
        <v>0</v>
      </c>
      <c r="AB84" s="3">
        <v>0</v>
      </c>
      <c r="AC84" s="3">
        <v>0</v>
      </c>
      <c r="AD84" s="3">
        <v>3</v>
      </c>
    </row>
    <row r="85" spans="2:30" x14ac:dyDescent="0.45">
      <c r="B85" s="6" t="s">
        <v>79</v>
      </c>
      <c r="J85" s="7">
        <f>J84+J79</f>
        <v>19665</v>
      </c>
      <c r="U85" s="7">
        <f>SUM(U81:U84)</f>
        <v>500</v>
      </c>
      <c r="V85" s="7">
        <f t="shared" ref="V85:Z85" si="116">SUM(V81:V84)</f>
        <v>697</v>
      </c>
      <c r="W85" s="7">
        <f t="shared" si="116"/>
        <v>750</v>
      </c>
      <c r="X85" s="7">
        <f t="shared" si="116"/>
        <v>856</v>
      </c>
      <c r="Y85" s="7">
        <f t="shared" si="116"/>
        <v>946</v>
      </c>
      <c r="Z85" s="7">
        <f t="shared" si="116"/>
        <v>1137</v>
      </c>
      <c r="AA85" s="7">
        <f>SUM(AA81:AA84)</f>
        <v>1238</v>
      </c>
      <c r="AB85" s="7">
        <f>SUM(AB81:AB84)</f>
        <v>1184</v>
      </c>
      <c r="AC85" s="7">
        <f t="shared" ref="AC85" si="117">SUM(AC82:AC84)</f>
        <v>1693</v>
      </c>
      <c r="AD85" s="7">
        <f>SUM(AD82:AD84)</f>
        <v>1890</v>
      </c>
    </row>
    <row r="86" spans="2:30" x14ac:dyDescent="0.45">
      <c r="B86" s="6" t="s">
        <v>81</v>
      </c>
      <c r="J86" s="7">
        <v>27121</v>
      </c>
      <c r="U86" s="7">
        <f t="shared" ref="U86:AC86" si="118">U85+U80</f>
        <v>6446</v>
      </c>
      <c r="V86" s="7">
        <f t="shared" si="118"/>
        <v>6389</v>
      </c>
      <c r="W86" s="7">
        <f t="shared" si="118"/>
        <v>5974</v>
      </c>
      <c r="X86" s="7">
        <f t="shared" si="118"/>
        <v>7687</v>
      </c>
      <c r="Y86" s="7">
        <f t="shared" si="118"/>
        <v>7565</v>
      </c>
      <c r="Z86" s="7">
        <f t="shared" si="118"/>
        <v>10181</v>
      </c>
      <c r="AA86" s="7">
        <f t="shared" si="118"/>
        <v>12632</v>
      </c>
      <c r="AB86" s="7">
        <f t="shared" si="118"/>
        <v>16890</v>
      </c>
      <c r="AC86" s="7">
        <f t="shared" si="118"/>
        <v>18286</v>
      </c>
      <c r="AD86" s="7">
        <f>AD85+AD80</f>
        <v>19665</v>
      </c>
    </row>
    <row r="87" spans="2:30" x14ac:dyDescent="0.45">
      <c r="B87" s="6" t="s">
        <v>80</v>
      </c>
      <c r="J87" s="9">
        <f>J86+J85</f>
        <v>46786</v>
      </c>
      <c r="U87" s="7">
        <v>17423</v>
      </c>
      <c r="V87" s="7">
        <v>21106</v>
      </c>
      <c r="W87" s="7">
        <v>18394</v>
      </c>
      <c r="X87" s="7">
        <v>20567</v>
      </c>
      <c r="Y87" s="7">
        <v>17783</v>
      </c>
      <c r="Z87" s="7">
        <v>18834</v>
      </c>
      <c r="AA87" s="7">
        <v>25725</v>
      </c>
      <c r="AB87" s="7">
        <v>25503</v>
      </c>
      <c r="AC87" s="7">
        <v>25243</v>
      </c>
      <c r="AD87" s="7">
        <v>27121</v>
      </c>
    </row>
    <row r="88" spans="2:30" x14ac:dyDescent="0.45">
      <c r="B88" s="8" t="s">
        <v>82</v>
      </c>
      <c r="U88" s="9">
        <f t="shared" ref="U88:AC88" si="119">U87+U86</f>
        <v>23869</v>
      </c>
      <c r="V88" s="9">
        <f t="shared" si="119"/>
        <v>27495</v>
      </c>
      <c r="W88" s="9">
        <f t="shared" si="119"/>
        <v>24368</v>
      </c>
      <c r="X88" s="9">
        <f t="shared" si="119"/>
        <v>28254</v>
      </c>
      <c r="Y88" s="9">
        <f t="shared" si="119"/>
        <v>25348</v>
      </c>
      <c r="Z88" s="9">
        <f t="shared" si="119"/>
        <v>29015</v>
      </c>
      <c r="AA88" s="9">
        <f t="shared" si="119"/>
        <v>38357</v>
      </c>
      <c r="AB88" s="9">
        <f t="shared" si="119"/>
        <v>42393</v>
      </c>
      <c r="AC88" s="9">
        <f t="shared" si="119"/>
        <v>43529</v>
      </c>
      <c r="AD88" s="9">
        <f>AD87+AD86</f>
        <v>46786</v>
      </c>
    </row>
    <row r="90" spans="2:30" x14ac:dyDescent="0.45">
      <c r="B90" s="6" t="s">
        <v>127</v>
      </c>
      <c r="U90" s="7">
        <f>U60-U80</f>
        <v>12583</v>
      </c>
      <c r="V90" s="7">
        <f t="shared" ref="V90:AD90" si="120">V60-V80</f>
        <v>17753</v>
      </c>
      <c r="W90" s="7">
        <f t="shared" si="120"/>
        <v>14995</v>
      </c>
      <c r="X90" s="7">
        <f t="shared" si="120"/>
        <v>16911</v>
      </c>
      <c r="Y90" s="7">
        <f t="shared" si="120"/>
        <v>14142</v>
      </c>
      <c r="Z90" s="7">
        <f t="shared" si="120"/>
        <v>11864</v>
      </c>
      <c r="AA90" s="7">
        <f t="shared" si="120"/>
        <v>18750</v>
      </c>
      <c r="AB90" s="7">
        <f t="shared" si="120"/>
        <v>19733</v>
      </c>
      <c r="AC90" s="7">
        <f t="shared" si="120"/>
        <v>19162</v>
      </c>
      <c r="AD90" s="7">
        <f t="shared" si="120"/>
        <v>21189</v>
      </c>
    </row>
  </sheetData>
  <conditionalFormatting sqref="AV5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Rangwala</dc:creator>
  <cp:lastModifiedBy>Sameer Rangwala</cp:lastModifiedBy>
  <dcterms:created xsi:type="dcterms:W3CDTF">2024-04-23T19:36:55Z</dcterms:created>
  <dcterms:modified xsi:type="dcterms:W3CDTF">2024-06-14T11:27:08Z</dcterms:modified>
</cp:coreProperties>
</file>