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09fdbd93d202da/Desktop/Models/India Equity/"/>
    </mc:Choice>
  </mc:AlternateContent>
  <xr:revisionPtr revIDLastSave="3146" documentId="8_{D20875FE-71F2-42D7-8667-1D7DAA0406FD}" xr6:coauthVersionLast="47" xr6:coauthVersionMax="47" xr10:uidLastSave="{61D8654B-5DC0-4BF2-88A7-215420F1C51B}"/>
  <bookViews>
    <workbookView xWindow="-98" yWindow="-98" windowWidth="21795" windowHeight="12975" activeTab="1" xr2:uid="{415C9551-708D-4206-AF8E-06B602DB1F2E}"/>
  </bookViews>
  <sheets>
    <sheet name="Main" sheetId="1" r:id="rId1"/>
    <sheet name="Model" sheetId="2" r:id="rId2"/>
    <sheet name="Revenue and costs build" sheetId="3" r:id="rId3"/>
  </sheets>
  <definedNames>
    <definedName name="Rate">Model!$AP$69</definedName>
    <definedName name="ROIC">Model!$AP$70</definedName>
    <definedName name="solver_adj" localSheetId="1" hidden="1">Model!$AP$69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Model!$AP$69</definedName>
    <definedName name="solver_lhs2" localSheetId="1" hidden="1">Model!$AP$69</definedName>
    <definedName name="solver_lhs3" localSheetId="1" hidden="1">Model!$AP$69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Model!$AP$72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hs1" localSheetId="1" hidden="1">100</definedName>
    <definedName name="solver_rhs2" localSheetId="1" hidden="1">100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401</definedName>
    <definedName name="solver_ver" localSheetId="1" hidden="1">3</definedName>
    <definedName name="TGR">Model!$AP$68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2" i="2" l="1"/>
  <c r="L96" i="2"/>
  <c r="L94" i="2"/>
  <c r="L89" i="2"/>
  <c r="L85" i="2"/>
  <c r="L90" i="2" s="1"/>
  <c r="L77" i="2"/>
  <c r="L73" i="2"/>
  <c r="T27" i="3"/>
  <c r="W63" i="2"/>
  <c r="W60" i="2"/>
  <c r="W58" i="2"/>
  <c r="W57" i="2"/>
  <c r="W51" i="2"/>
  <c r="W31" i="2" s="1"/>
  <c r="W35" i="2" s="1"/>
  <c r="W36" i="2" s="1"/>
  <c r="W52" i="2"/>
  <c r="W53" i="2"/>
  <c r="W54" i="2"/>
  <c r="W50" i="2"/>
  <c r="W47" i="2"/>
  <c r="W46" i="2"/>
  <c r="W48" i="2" s="1"/>
  <c r="W44" i="2"/>
  <c r="W43" i="2"/>
  <c r="W45" i="2" s="1"/>
  <c r="W24" i="2"/>
  <c r="W25" i="2"/>
  <c r="W26" i="2"/>
  <c r="W27" i="2"/>
  <c r="W28" i="2"/>
  <c r="W29" i="2"/>
  <c r="W17" i="2"/>
  <c r="W16" i="2" s="1"/>
  <c r="W18" i="2"/>
  <c r="W19" i="2"/>
  <c r="W20" i="2"/>
  <c r="W12" i="2"/>
  <c r="W11" i="2" s="1"/>
  <c r="W13" i="2"/>
  <c r="W14" i="2"/>
  <c r="W4" i="2"/>
  <c r="W3" i="2" s="1"/>
  <c r="W5" i="2"/>
  <c r="L67" i="2"/>
  <c r="L48" i="2"/>
  <c r="L14" i="2"/>
  <c r="L12" i="2"/>
  <c r="L20" i="2"/>
  <c r="L19" i="2"/>
  <c r="L18" i="2"/>
  <c r="L16" i="2" s="1"/>
  <c r="L29" i="2"/>
  <c r="L28" i="2"/>
  <c r="L27" i="2"/>
  <c r="L26" i="2"/>
  <c r="L25" i="2"/>
  <c r="L24" i="2"/>
  <c r="L23" i="2"/>
  <c r="L17" i="2"/>
  <c r="L1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9" i="2"/>
  <c r="N9" i="2"/>
  <c r="O9" i="2"/>
  <c r="P9" i="2"/>
  <c r="L9" i="2"/>
  <c r="L7" i="2"/>
  <c r="L6" i="2"/>
  <c r="L5" i="2"/>
  <c r="L4" i="2"/>
  <c r="X52" i="3"/>
  <c r="Z36" i="3"/>
  <c r="Y36" i="3"/>
  <c r="Z9" i="3"/>
  <c r="AA9" i="3" s="1"/>
  <c r="AB9" i="3" s="1"/>
  <c r="AC9" i="3" s="1"/>
  <c r="AD9" i="3" s="1"/>
  <c r="AE9" i="3" s="1"/>
  <c r="AF9" i="3" s="1"/>
  <c r="AG9" i="3" s="1"/>
  <c r="AH9" i="3" s="1"/>
  <c r="AI9" i="3" s="1"/>
  <c r="Y9" i="3"/>
  <c r="Y11" i="3"/>
  <c r="Z11" i="3"/>
  <c r="AA11" i="3" s="1"/>
  <c r="AB11" i="3" s="1"/>
  <c r="AC11" i="3" s="1"/>
  <c r="AD11" i="3" s="1"/>
  <c r="AE11" i="3" s="1"/>
  <c r="AF11" i="3" s="1"/>
  <c r="AG11" i="3" s="1"/>
  <c r="AH11" i="3" s="1"/>
  <c r="AI11" i="3" s="1"/>
  <c r="M54" i="3"/>
  <c r="M53" i="3"/>
  <c r="N11" i="3"/>
  <c r="O11" i="3"/>
  <c r="P11" i="3"/>
  <c r="M11" i="3"/>
  <c r="N9" i="3"/>
  <c r="O9" i="3"/>
  <c r="P9" i="3"/>
  <c r="M9" i="3"/>
  <c r="P21" i="3"/>
  <c r="P27" i="3"/>
  <c r="P29" i="3"/>
  <c r="N36" i="3"/>
  <c r="O36" i="3"/>
  <c r="P36" i="3"/>
  <c r="M36" i="3"/>
  <c r="L58" i="3"/>
  <c r="L54" i="3"/>
  <c r="L53" i="3"/>
  <c r="L52" i="3"/>
  <c r="L39" i="3"/>
  <c r="L41" i="3"/>
  <c r="L43" i="3"/>
  <c r="L45" i="3"/>
  <c r="L47" i="3"/>
  <c r="L49" i="3"/>
  <c r="L36" i="3"/>
  <c r="L51" i="3" s="1"/>
  <c r="L32" i="3"/>
  <c r="L30" i="3"/>
  <c r="L28" i="3"/>
  <c r="D25" i="3"/>
  <c r="E25" i="3"/>
  <c r="F25" i="3"/>
  <c r="G25" i="3"/>
  <c r="H25" i="3"/>
  <c r="I25" i="3"/>
  <c r="J25" i="3"/>
  <c r="K25" i="3"/>
  <c r="L25" i="3"/>
  <c r="C25" i="3"/>
  <c r="L22" i="3"/>
  <c r="L20" i="3"/>
  <c r="D17" i="3"/>
  <c r="E17" i="3"/>
  <c r="F17" i="3"/>
  <c r="G17" i="3"/>
  <c r="H17" i="3"/>
  <c r="I17" i="3"/>
  <c r="J17" i="3"/>
  <c r="K17" i="3"/>
  <c r="L17" i="3"/>
  <c r="C17" i="3"/>
  <c r="L3" i="3"/>
  <c r="D3" i="3"/>
  <c r="E3" i="3"/>
  <c r="F3" i="3"/>
  <c r="G3" i="3"/>
  <c r="H3" i="3"/>
  <c r="I3" i="3"/>
  <c r="J3" i="3"/>
  <c r="K3" i="3"/>
  <c r="C3" i="3"/>
  <c r="L12" i="3"/>
  <c r="L10" i="3"/>
  <c r="L8" i="3"/>
  <c r="L6" i="3"/>
  <c r="L78" i="2" l="1"/>
  <c r="L82" i="2" s="1"/>
  <c r="W49" i="2"/>
  <c r="W66" i="2" s="1"/>
  <c r="W68" i="2"/>
  <c r="W55" i="2"/>
  <c r="W56" i="2" s="1"/>
  <c r="W59" i="2" s="1"/>
  <c r="W61" i="2" s="1"/>
  <c r="W69" i="2" s="1"/>
  <c r="T28" i="3"/>
  <c r="L11" i="2"/>
  <c r="L3" i="2"/>
  <c r="L18" i="3"/>
  <c r="L26" i="3"/>
  <c r="L56" i="3"/>
  <c r="M53" i="2"/>
  <c r="N53" i="2"/>
  <c r="O53" i="2"/>
  <c r="P53" i="2"/>
  <c r="X53" i="2"/>
  <c r="U67" i="2"/>
  <c r="AA54" i="2"/>
  <c r="AA58" i="2"/>
  <c r="AB58" i="2"/>
  <c r="AC58" i="2" s="1"/>
  <c r="AD58" i="2" s="1"/>
  <c r="AE58" i="2" s="1"/>
  <c r="AF58" i="2" s="1"/>
  <c r="AG58" i="2" s="1"/>
  <c r="AH58" i="2" s="1"/>
  <c r="AI58" i="2" s="1"/>
  <c r="AJ58" i="2" s="1"/>
  <c r="X63" i="2"/>
  <c r="Y63" i="2" s="1"/>
  <c r="Z63" i="2" s="1"/>
  <c r="AA63" i="2" s="1"/>
  <c r="X57" i="2"/>
  <c r="M63" i="2"/>
  <c r="N63" i="2" s="1"/>
  <c r="O63" i="2" s="1"/>
  <c r="P63" i="2" s="1"/>
  <c r="M57" i="2"/>
  <c r="N44" i="2"/>
  <c r="O44" i="2" s="1"/>
  <c r="P44" i="2" s="1"/>
  <c r="N54" i="2"/>
  <c r="O54" i="2" s="1"/>
  <c r="P54" i="2" s="1"/>
  <c r="X54" i="2"/>
  <c r="H67" i="2"/>
  <c r="I67" i="2"/>
  <c r="J67" i="2"/>
  <c r="K67" i="2"/>
  <c r="G67" i="2"/>
  <c r="Z54" i="2"/>
  <c r="AB54" i="2"/>
  <c r="AC54" i="2"/>
  <c r="AD54" i="2"/>
  <c r="AE54" i="2"/>
  <c r="AF54" i="2"/>
  <c r="AG54" i="2"/>
  <c r="AH54" i="2"/>
  <c r="AI54" i="2"/>
  <c r="AJ54" i="2"/>
  <c r="AD36" i="2"/>
  <c r="AE36" i="2" s="1"/>
  <c r="AF36" i="2" s="1"/>
  <c r="AG36" i="2" s="1"/>
  <c r="AH36" i="2" s="1"/>
  <c r="AI36" i="2" s="1"/>
  <c r="AJ36" i="2" s="1"/>
  <c r="X35" i="2"/>
  <c r="X32" i="2"/>
  <c r="AD33" i="2"/>
  <c r="AE33" i="2" s="1"/>
  <c r="AF33" i="2" s="1"/>
  <c r="AG33" i="2" s="1"/>
  <c r="AH33" i="2" s="1"/>
  <c r="AI33" i="2" s="1"/>
  <c r="AJ33" i="2" s="1"/>
  <c r="Y1" i="2"/>
  <c r="Z1" i="2" s="1"/>
  <c r="AA1" i="2" s="1"/>
  <c r="AB1" i="2" s="1"/>
  <c r="AC1" i="2" s="1"/>
  <c r="V36" i="2"/>
  <c r="V33" i="2"/>
  <c r="X34" i="2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X37" i="2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X38" i="2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X39" i="2"/>
  <c r="Y39" i="2" s="1"/>
  <c r="Z39" i="2" s="1"/>
  <c r="AA39" i="2" s="1"/>
  <c r="AB39" i="2" s="1"/>
  <c r="AC39" i="2" s="1"/>
  <c r="AD39" i="2" s="1"/>
  <c r="AE39" i="2" s="1"/>
  <c r="AF39" i="2" s="1"/>
  <c r="AG39" i="2" s="1"/>
  <c r="AH39" i="2" s="1"/>
  <c r="AI39" i="2" s="1"/>
  <c r="AJ39" i="2" s="1"/>
  <c r="AE30" i="3"/>
  <c r="AF30" i="3" s="1"/>
  <c r="AG30" i="3" s="1"/>
  <c r="AH30" i="3" s="1"/>
  <c r="AI30" i="3" s="1"/>
  <c r="AE28" i="3"/>
  <c r="AF28" i="3" s="1"/>
  <c r="AG28" i="3" s="1"/>
  <c r="AH28" i="3" s="1"/>
  <c r="AI28" i="3" s="1"/>
  <c r="AE22" i="3"/>
  <c r="AF22" i="3" s="1"/>
  <c r="AG22" i="3" s="1"/>
  <c r="AH22" i="3" s="1"/>
  <c r="AI22" i="3" s="1"/>
  <c r="Z9" i="2"/>
  <c r="AA9" i="2"/>
  <c r="AB9" i="2"/>
  <c r="AC9" i="2"/>
  <c r="AD9" i="2"/>
  <c r="AE9" i="2"/>
  <c r="AF9" i="2"/>
  <c r="AG9" i="2"/>
  <c r="AH9" i="2"/>
  <c r="AI9" i="2"/>
  <c r="AJ9" i="2"/>
  <c r="K54" i="3"/>
  <c r="AE37" i="3"/>
  <c r="AF37" i="3" s="1"/>
  <c r="AG37" i="3" s="1"/>
  <c r="AH37" i="3" s="1"/>
  <c r="AI37" i="3" s="1"/>
  <c r="Y1" i="3"/>
  <c r="Z1" i="3" s="1"/>
  <c r="AA1" i="3" s="1"/>
  <c r="AB1" i="3" s="1"/>
  <c r="AC1" i="3" s="1"/>
  <c r="AD1" i="3" s="1"/>
  <c r="P13" i="2"/>
  <c r="W29" i="3"/>
  <c r="W27" i="3"/>
  <c r="X15" i="3"/>
  <c r="Y9" i="2" s="1"/>
  <c r="U3" i="3"/>
  <c r="W15" i="3"/>
  <c r="X9" i="2" s="1"/>
  <c r="W11" i="3"/>
  <c r="W12" i="3" s="1"/>
  <c r="X44" i="2"/>
  <c r="N1" i="2"/>
  <c r="O1" i="2" s="1"/>
  <c r="P1" i="2" s="1"/>
  <c r="W13" i="3"/>
  <c r="W9" i="3"/>
  <c r="F58" i="3"/>
  <c r="G58" i="3"/>
  <c r="H58" i="3"/>
  <c r="I58" i="3"/>
  <c r="J58" i="3"/>
  <c r="K58" i="3"/>
  <c r="E58" i="3"/>
  <c r="N1" i="3"/>
  <c r="O1" i="3" s="1"/>
  <c r="P1" i="3" s="1"/>
  <c r="H32" i="3"/>
  <c r="I32" i="3"/>
  <c r="J32" i="3"/>
  <c r="K32" i="3"/>
  <c r="H30" i="3"/>
  <c r="I30" i="3"/>
  <c r="J30" i="3"/>
  <c r="K30" i="3"/>
  <c r="H28" i="3"/>
  <c r="I28" i="3"/>
  <c r="J28" i="3"/>
  <c r="K28" i="3"/>
  <c r="G32" i="3"/>
  <c r="G30" i="3"/>
  <c r="G28" i="3"/>
  <c r="H22" i="3"/>
  <c r="I22" i="3"/>
  <c r="J22" i="3"/>
  <c r="K22" i="3"/>
  <c r="H20" i="3"/>
  <c r="I20" i="3"/>
  <c r="J20" i="3"/>
  <c r="K20" i="3"/>
  <c r="G22" i="3"/>
  <c r="G20" i="3"/>
  <c r="C56" i="3"/>
  <c r="V19" i="3"/>
  <c r="V21" i="3"/>
  <c r="V23" i="3"/>
  <c r="V27" i="3"/>
  <c r="V29" i="3"/>
  <c r="V31" i="3"/>
  <c r="V33" i="3"/>
  <c r="D36" i="3"/>
  <c r="D56" i="3" s="1"/>
  <c r="E36" i="3"/>
  <c r="E56" i="3" s="1"/>
  <c r="F36" i="3"/>
  <c r="F56" i="3" s="1"/>
  <c r="G36" i="3"/>
  <c r="G37" i="3" s="1"/>
  <c r="H36" i="3"/>
  <c r="H56" i="3" s="1"/>
  <c r="I36" i="3"/>
  <c r="J36" i="3"/>
  <c r="J56" i="3" s="1"/>
  <c r="K36" i="3"/>
  <c r="K56" i="3" s="1"/>
  <c r="V38" i="3"/>
  <c r="V52" i="3" s="1"/>
  <c r="G39" i="3"/>
  <c r="H39" i="3"/>
  <c r="I39" i="3"/>
  <c r="J39" i="3"/>
  <c r="K39" i="3"/>
  <c r="V40" i="3"/>
  <c r="G41" i="3"/>
  <c r="H41" i="3"/>
  <c r="I41" i="3"/>
  <c r="J41" i="3"/>
  <c r="K41" i="3"/>
  <c r="V42" i="3"/>
  <c r="G43" i="3"/>
  <c r="H43" i="3"/>
  <c r="I43" i="3"/>
  <c r="J43" i="3"/>
  <c r="K43" i="3"/>
  <c r="C51" i="3"/>
  <c r="D52" i="3"/>
  <c r="E52" i="3"/>
  <c r="F52" i="3"/>
  <c r="G52" i="3"/>
  <c r="H52" i="3"/>
  <c r="I52" i="3"/>
  <c r="J52" i="3"/>
  <c r="K52" i="3"/>
  <c r="C52" i="3"/>
  <c r="I49" i="3"/>
  <c r="J49" i="3"/>
  <c r="K49" i="3"/>
  <c r="H47" i="3"/>
  <c r="I47" i="3"/>
  <c r="J47" i="3"/>
  <c r="K47" i="3"/>
  <c r="G47" i="3"/>
  <c r="H45" i="3"/>
  <c r="I45" i="3"/>
  <c r="J45" i="3"/>
  <c r="K45" i="3"/>
  <c r="G45" i="3"/>
  <c r="V14" i="3"/>
  <c r="V12" i="3"/>
  <c r="V10" i="3"/>
  <c r="V7" i="3"/>
  <c r="V8" i="3" s="1"/>
  <c r="H14" i="3"/>
  <c r="I14" i="3"/>
  <c r="J14" i="3"/>
  <c r="K14" i="3"/>
  <c r="G14" i="3"/>
  <c r="H12" i="3"/>
  <c r="I12" i="3"/>
  <c r="J12" i="3"/>
  <c r="K12" i="3"/>
  <c r="G12" i="3"/>
  <c r="H10" i="3"/>
  <c r="I10" i="3"/>
  <c r="J10" i="3"/>
  <c r="K10" i="3"/>
  <c r="G10" i="3"/>
  <c r="H8" i="3"/>
  <c r="I8" i="3"/>
  <c r="J8" i="3"/>
  <c r="K8" i="3"/>
  <c r="G8" i="3"/>
  <c r="H6" i="3"/>
  <c r="I6" i="3"/>
  <c r="J6" i="3"/>
  <c r="K6" i="3"/>
  <c r="G6" i="3"/>
  <c r="D53" i="3"/>
  <c r="E53" i="3"/>
  <c r="F53" i="3"/>
  <c r="G53" i="3"/>
  <c r="H53" i="3"/>
  <c r="I53" i="3"/>
  <c r="J53" i="3"/>
  <c r="K53" i="3"/>
  <c r="C53" i="3"/>
  <c r="D54" i="3"/>
  <c r="E54" i="3"/>
  <c r="F54" i="3"/>
  <c r="G54" i="3"/>
  <c r="H54" i="3"/>
  <c r="I54" i="3"/>
  <c r="J54" i="3"/>
  <c r="C54" i="3"/>
  <c r="V48" i="3"/>
  <c r="V46" i="3"/>
  <c r="V44" i="3"/>
  <c r="V5" i="3"/>
  <c r="V6" i="3" s="1"/>
  <c r="T3" i="3"/>
  <c r="K85" i="2"/>
  <c r="K90" i="2" s="1"/>
  <c r="K94" i="2" s="1"/>
  <c r="K96" i="2" s="1"/>
  <c r="K77" i="2"/>
  <c r="K73" i="2"/>
  <c r="K72" i="2" s="1"/>
  <c r="U51" i="2"/>
  <c r="U31" i="2"/>
  <c r="V29" i="2"/>
  <c r="V28" i="2"/>
  <c r="V27" i="2"/>
  <c r="V26" i="2"/>
  <c r="V25" i="2"/>
  <c r="V24" i="2"/>
  <c r="V20" i="2"/>
  <c r="V19" i="2"/>
  <c r="V18" i="2"/>
  <c r="V17" i="2"/>
  <c r="V14" i="2"/>
  <c r="V13" i="2"/>
  <c r="V12" i="2"/>
  <c r="U43" i="2"/>
  <c r="V5" i="2"/>
  <c r="V4" i="2"/>
  <c r="U3" i="2"/>
  <c r="T3" i="2"/>
  <c r="D23" i="2"/>
  <c r="F23" i="2"/>
  <c r="F16" i="2"/>
  <c r="E23" i="2"/>
  <c r="H23" i="2"/>
  <c r="I23" i="2"/>
  <c r="E16" i="2"/>
  <c r="G23" i="2"/>
  <c r="J23" i="2"/>
  <c r="K23" i="2"/>
  <c r="D3" i="2"/>
  <c r="E3" i="2"/>
  <c r="F3" i="2"/>
  <c r="G3" i="2"/>
  <c r="H3" i="2"/>
  <c r="I3" i="2"/>
  <c r="J3" i="2"/>
  <c r="K3" i="2"/>
  <c r="C3" i="2"/>
  <c r="D16" i="2"/>
  <c r="G16" i="2"/>
  <c r="C16" i="2"/>
  <c r="D11" i="2"/>
  <c r="E11" i="2"/>
  <c r="F11" i="2"/>
  <c r="G11" i="2"/>
  <c r="H11" i="2"/>
  <c r="I11" i="2"/>
  <c r="J11" i="2"/>
  <c r="K11" i="2"/>
  <c r="C11" i="2"/>
  <c r="H16" i="2"/>
  <c r="I16" i="2"/>
  <c r="K16" i="2"/>
  <c r="J16" i="2"/>
  <c r="W23" i="2" l="1"/>
  <c r="W62" i="2"/>
  <c r="V23" i="2"/>
  <c r="M29" i="3"/>
  <c r="N28" i="3"/>
  <c r="O28" i="3" s="1"/>
  <c r="O21" i="3"/>
  <c r="O13" i="2" s="1"/>
  <c r="N30" i="3"/>
  <c r="O30" i="3" s="1"/>
  <c r="W30" i="3"/>
  <c r="I56" i="3"/>
  <c r="L37" i="3"/>
  <c r="X17" i="2"/>
  <c r="W28" i="3"/>
  <c r="AE1" i="3"/>
  <c r="AF1" i="3" s="1"/>
  <c r="AG1" i="3" s="1"/>
  <c r="AH1" i="3" s="1"/>
  <c r="AI1" i="3" s="1"/>
  <c r="Z28" i="3"/>
  <c r="AA28" i="3" s="1"/>
  <c r="AB28" i="3" s="1"/>
  <c r="AC28" i="3" s="1"/>
  <c r="Z37" i="3"/>
  <c r="AA37" i="3" s="1"/>
  <c r="AB37" i="3" s="1"/>
  <c r="AC37" i="3" s="1"/>
  <c r="Z22" i="3"/>
  <c r="AA22" i="3" s="1"/>
  <c r="AB22" i="3" s="1"/>
  <c r="AC22" i="3" s="1"/>
  <c r="Z30" i="3"/>
  <c r="AA30" i="3" s="1"/>
  <c r="AB30" i="3" s="1"/>
  <c r="AC30" i="3" s="1"/>
  <c r="W14" i="3"/>
  <c r="X8" i="2"/>
  <c r="X11" i="3"/>
  <c r="X7" i="2"/>
  <c r="V3" i="3"/>
  <c r="V4" i="3" s="1"/>
  <c r="V54" i="3"/>
  <c r="V53" i="3"/>
  <c r="G26" i="3"/>
  <c r="P17" i="2"/>
  <c r="P50" i="2" s="1"/>
  <c r="W21" i="3"/>
  <c r="AB63" i="2"/>
  <c r="AC63" i="2" s="1"/>
  <c r="AD63" i="2" s="1"/>
  <c r="AE63" i="2" s="1"/>
  <c r="AF63" i="2" s="1"/>
  <c r="AG63" i="2" s="1"/>
  <c r="AH63" i="2" s="1"/>
  <c r="AI63" i="2" s="1"/>
  <c r="AJ63" i="2" s="1"/>
  <c r="V51" i="2"/>
  <c r="W36" i="3"/>
  <c r="W10" i="3"/>
  <c r="X6" i="2"/>
  <c r="V31" i="2"/>
  <c r="Y53" i="2"/>
  <c r="Y67" i="2" s="1"/>
  <c r="AD1" i="2"/>
  <c r="AE1" i="2" s="1"/>
  <c r="AF1" i="2" s="1"/>
  <c r="AG1" i="2" s="1"/>
  <c r="AH1" i="2" s="1"/>
  <c r="AI1" i="2" s="1"/>
  <c r="AJ1" i="2" s="1"/>
  <c r="AA69" i="2" s="1"/>
  <c r="AB69" i="2" s="1"/>
  <c r="AC69" i="2" s="1"/>
  <c r="AD69" i="2" s="1"/>
  <c r="AE69" i="2" s="1"/>
  <c r="AF69" i="2" s="1"/>
  <c r="AG69" i="2" s="1"/>
  <c r="AH69" i="2" s="1"/>
  <c r="AI69" i="2" s="1"/>
  <c r="Y33" i="2"/>
  <c r="Y36" i="2"/>
  <c r="X31" i="2"/>
  <c r="X51" i="2" s="1"/>
  <c r="N57" i="2"/>
  <c r="O57" i="2" s="1"/>
  <c r="P57" i="2" s="1"/>
  <c r="N58" i="2"/>
  <c r="O58" i="2" s="1"/>
  <c r="P58" i="2" s="1"/>
  <c r="K78" i="2"/>
  <c r="K82" i="2" s="1"/>
  <c r="I26" i="3"/>
  <c r="H26" i="3"/>
  <c r="H18" i="3"/>
  <c r="J26" i="3"/>
  <c r="G18" i="3"/>
  <c r="I18" i="3"/>
  <c r="J18" i="3"/>
  <c r="G56" i="3"/>
  <c r="K37" i="3"/>
  <c r="V36" i="3"/>
  <c r="V51" i="3" s="1"/>
  <c r="I37" i="3"/>
  <c r="H37" i="3"/>
  <c r="J37" i="3"/>
  <c r="V17" i="3"/>
  <c r="V25" i="3"/>
  <c r="K51" i="3"/>
  <c r="J51" i="3"/>
  <c r="N51" i="3" s="1"/>
  <c r="I51" i="3"/>
  <c r="M51" i="3" s="1"/>
  <c r="P51" i="3" s="1"/>
  <c r="H51" i="3"/>
  <c r="G51" i="3"/>
  <c r="F51" i="3"/>
  <c r="E51" i="3"/>
  <c r="D51" i="3"/>
  <c r="J4" i="3"/>
  <c r="I4" i="3"/>
  <c r="G4" i="3"/>
  <c r="K4" i="3"/>
  <c r="V16" i="2"/>
  <c r="V43" i="2"/>
  <c r="V11" i="2"/>
  <c r="V3" i="2"/>
  <c r="T55" i="2"/>
  <c r="T48" i="2"/>
  <c r="T45" i="2"/>
  <c r="T68" i="2" s="1"/>
  <c r="U55" i="2"/>
  <c r="U48" i="2"/>
  <c r="U45" i="2"/>
  <c r="U68" i="2" s="1"/>
  <c r="V63" i="2"/>
  <c r="V60" i="2"/>
  <c r="V58" i="2"/>
  <c r="V57" i="2"/>
  <c r="Z57" i="2" s="1"/>
  <c r="V52" i="2"/>
  <c r="V53" i="2"/>
  <c r="V54" i="2"/>
  <c r="V50" i="2"/>
  <c r="V47" i="2"/>
  <c r="V46" i="2"/>
  <c r="V44" i="2"/>
  <c r="C55" i="2"/>
  <c r="C48" i="2"/>
  <c r="C45" i="2"/>
  <c r="C68" i="2" s="1"/>
  <c r="D55" i="2"/>
  <c r="D48" i="2"/>
  <c r="D45" i="2"/>
  <c r="D68" i="2" s="1"/>
  <c r="F55" i="2"/>
  <c r="F48" i="2"/>
  <c r="F45" i="2"/>
  <c r="F68" i="2" s="1"/>
  <c r="E55" i="2"/>
  <c r="E48" i="2"/>
  <c r="E45" i="2"/>
  <c r="E68" i="2" s="1"/>
  <c r="H55" i="2"/>
  <c r="H48" i="2"/>
  <c r="H45" i="2"/>
  <c r="H68" i="2" s="1"/>
  <c r="I55" i="2"/>
  <c r="I48" i="2"/>
  <c r="I45" i="2"/>
  <c r="I68" i="2" s="1"/>
  <c r="G55" i="2"/>
  <c r="G48" i="2"/>
  <c r="G45" i="2"/>
  <c r="G68" i="2" s="1"/>
  <c r="J55" i="2"/>
  <c r="J48" i="2"/>
  <c r="J45" i="2"/>
  <c r="J68" i="2" s="1"/>
  <c r="K55" i="2"/>
  <c r="K48" i="2"/>
  <c r="K45" i="2"/>
  <c r="K68" i="2" s="1"/>
  <c r="V67" i="2" l="1"/>
  <c r="W67" i="2"/>
  <c r="X67" i="2"/>
  <c r="AA57" i="2"/>
  <c r="AB57" i="2" s="1"/>
  <c r="AC57" i="2" s="1"/>
  <c r="AD57" i="2" s="1"/>
  <c r="AE57" i="2" s="1"/>
  <c r="AF57" i="2" s="1"/>
  <c r="AG57" i="2" s="1"/>
  <c r="AH57" i="2" s="1"/>
  <c r="AI57" i="2" s="1"/>
  <c r="AJ57" i="2" s="1"/>
  <c r="O51" i="3"/>
  <c r="M40" i="3"/>
  <c r="N29" i="3"/>
  <c r="X13" i="3"/>
  <c r="X14" i="3" s="1"/>
  <c r="O29" i="3"/>
  <c r="X29" i="3" s="1"/>
  <c r="X30" i="3" s="1"/>
  <c r="W40" i="3"/>
  <c r="W41" i="3" s="1"/>
  <c r="X12" i="3"/>
  <c r="Y7" i="2"/>
  <c r="Y8" i="2"/>
  <c r="Y13" i="3"/>
  <c r="M27" i="3"/>
  <c r="N40" i="3"/>
  <c r="K26" i="3"/>
  <c r="Z54" i="3"/>
  <c r="AA54" i="3" s="1"/>
  <c r="AB54" i="3" s="1"/>
  <c r="AC54" i="3" s="1"/>
  <c r="AD54" i="3" s="1"/>
  <c r="AE54" i="3" s="1"/>
  <c r="AF54" i="3" s="1"/>
  <c r="AG54" i="3" s="1"/>
  <c r="AH54" i="3" s="1"/>
  <c r="Z53" i="3"/>
  <c r="AA53" i="3" s="1"/>
  <c r="AB53" i="3" s="1"/>
  <c r="AC53" i="3" s="1"/>
  <c r="AD53" i="3" s="1"/>
  <c r="AE53" i="3" s="1"/>
  <c r="AF53" i="3" s="1"/>
  <c r="AG53" i="3" s="1"/>
  <c r="AH53" i="3" s="1"/>
  <c r="Z51" i="3"/>
  <c r="AA51" i="3" s="1"/>
  <c r="AB51" i="3" s="1"/>
  <c r="AC51" i="3" s="1"/>
  <c r="AD51" i="3" s="1"/>
  <c r="AE51" i="3" s="1"/>
  <c r="AF51" i="3" s="1"/>
  <c r="AG51" i="3" s="1"/>
  <c r="AH51" i="3" s="1"/>
  <c r="M21" i="3"/>
  <c r="W22" i="3"/>
  <c r="X13" i="2"/>
  <c r="X50" i="2" s="1"/>
  <c r="N21" i="3"/>
  <c r="N13" i="2" s="1"/>
  <c r="H4" i="3"/>
  <c r="L4" i="3"/>
  <c r="W37" i="3"/>
  <c r="Z53" i="2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Z33" i="2"/>
  <c r="AA33" i="2" s="1"/>
  <c r="AB33" i="2" s="1"/>
  <c r="Y32" i="2"/>
  <c r="Y58" i="2"/>
  <c r="Y57" i="2"/>
  <c r="J65" i="2"/>
  <c r="K18" i="3"/>
  <c r="I65" i="2"/>
  <c r="V45" i="2"/>
  <c r="U65" i="2"/>
  <c r="K65" i="2"/>
  <c r="V48" i="2"/>
  <c r="V55" i="2"/>
  <c r="H49" i="2"/>
  <c r="H66" i="2" s="1"/>
  <c r="T49" i="2"/>
  <c r="U49" i="2"/>
  <c r="C49" i="2"/>
  <c r="C56" i="2" s="1"/>
  <c r="C59" i="2" s="1"/>
  <c r="C69" i="2" s="1"/>
  <c r="G65" i="2"/>
  <c r="D49" i="2"/>
  <c r="D56" i="2" s="1"/>
  <c r="D59" i="2" s="1"/>
  <c r="D69" i="2" s="1"/>
  <c r="H65" i="2"/>
  <c r="F49" i="2"/>
  <c r="F66" i="2" s="1"/>
  <c r="E49" i="2"/>
  <c r="K49" i="2"/>
  <c r="K66" i="2" s="1"/>
  <c r="I49" i="2"/>
  <c r="G49" i="2"/>
  <c r="J49" i="2"/>
  <c r="V65" i="2" l="1"/>
  <c r="W65" i="2"/>
  <c r="N7" i="3"/>
  <c r="M7" i="3"/>
  <c r="Y29" i="3"/>
  <c r="Z29" i="3" s="1"/>
  <c r="AA29" i="3" s="1"/>
  <c r="AB29" i="3" s="1"/>
  <c r="AC29" i="3" s="1"/>
  <c r="AD29" i="3" s="1"/>
  <c r="AE29" i="3" s="1"/>
  <c r="AF29" i="3" s="1"/>
  <c r="AG29" i="3" s="1"/>
  <c r="AH29" i="3" s="1"/>
  <c r="AI29" i="3" s="1"/>
  <c r="W51" i="3"/>
  <c r="Z7" i="2"/>
  <c r="O40" i="3"/>
  <c r="M41" i="3"/>
  <c r="M38" i="3"/>
  <c r="M5" i="3" s="1"/>
  <c r="O27" i="3"/>
  <c r="O17" i="2" s="1"/>
  <c r="O50" i="2" s="1"/>
  <c r="N27" i="3"/>
  <c r="N17" i="2" s="1"/>
  <c r="N50" i="2" s="1"/>
  <c r="X21" i="3"/>
  <c r="M13" i="2"/>
  <c r="M17" i="2"/>
  <c r="Z13" i="3"/>
  <c r="Z8" i="2"/>
  <c r="W5" i="3"/>
  <c r="V68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V49" i="2"/>
  <c r="K56" i="2"/>
  <c r="K59" i="2" s="1"/>
  <c r="F56" i="2"/>
  <c r="F59" i="2" s="1"/>
  <c r="F69" i="2" s="1"/>
  <c r="H56" i="2"/>
  <c r="H59" i="2" s="1"/>
  <c r="G56" i="2"/>
  <c r="G59" i="2" s="1"/>
  <c r="G66" i="2"/>
  <c r="I56" i="2"/>
  <c r="I66" i="2"/>
  <c r="E56" i="2"/>
  <c r="E59" i="2" s="1"/>
  <c r="E66" i="2"/>
  <c r="D66" i="2"/>
  <c r="U56" i="2"/>
  <c r="U59" i="2" s="1"/>
  <c r="U61" i="2" s="1"/>
  <c r="U66" i="2"/>
  <c r="T56" i="2"/>
  <c r="T59" i="2" s="1"/>
  <c r="T61" i="2" s="1"/>
  <c r="T66" i="2"/>
  <c r="J56" i="2"/>
  <c r="J59" i="2" s="1"/>
  <c r="J66" i="2"/>
  <c r="C66" i="2"/>
  <c r="C61" i="2"/>
  <c r="C62" i="2" s="1"/>
  <c r="D61" i="2"/>
  <c r="D62" i="2" s="1"/>
  <c r="V66" i="2" l="1"/>
  <c r="V56" i="2"/>
  <c r="V59" i="2" s="1"/>
  <c r="V61" i="2" s="1"/>
  <c r="V69" i="2" s="1"/>
  <c r="O7" i="3"/>
  <c r="L45" i="2"/>
  <c r="W7" i="3"/>
  <c r="W38" i="3"/>
  <c r="W53" i="3" s="1"/>
  <c r="M8" i="3"/>
  <c r="AA13" i="3"/>
  <c r="AA8" i="2"/>
  <c r="X27" i="3"/>
  <c r="N38" i="3"/>
  <c r="N5" i="3" s="1"/>
  <c r="N3" i="3" s="1"/>
  <c r="N41" i="3"/>
  <c r="P40" i="3"/>
  <c r="P41" i="3" s="1"/>
  <c r="M50" i="2"/>
  <c r="X9" i="3"/>
  <c r="M3" i="3"/>
  <c r="M39" i="3"/>
  <c r="X22" i="3"/>
  <c r="Y21" i="3"/>
  <c r="Y13" i="2"/>
  <c r="AA7" i="2"/>
  <c r="X4" i="2"/>
  <c r="W6" i="3"/>
  <c r="W3" i="3"/>
  <c r="W4" i="3" s="1"/>
  <c r="I59" i="2"/>
  <c r="I69" i="2" s="1"/>
  <c r="F61" i="2"/>
  <c r="F62" i="2" s="1"/>
  <c r="T62" i="2"/>
  <c r="T69" i="2"/>
  <c r="U62" i="2"/>
  <c r="U69" i="2"/>
  <c r="H61" i="2"/>
  <c r="H62" i="2" s="1"/>
  <c r="H69" i="2"/>
  <c r="E61" i="2"/>
  <c r="E62" i="2" s="1"/>
  <c r="E69" i="2"/>
  <c r="K61" i="2"/>
  <c r="K62" i="2" s="1"/>
  <c r="K69" i="2"/>
  <c r="J61" i="2"/>
  <c r="J62" i="2" s="1"/>
  <c r="J69" i="2"/>
  <c r="G61" i="2"/>
  <c r="G62" i="2" s="1"/>
  <c r="G69" i="2"/>
  <c r="G5" i="1"/>
  <c r="G6" i="1" s="1"/>
  <c r="G9" i="1" s="1"/>
  <c r="G8" i="1"/>
  <c r="I61" i="2" l="1"/>
  <c r="I62" i="2" s="1"/>
  <c r="L65" i="2"/>
  <c r="L68" i="2"/>
  <c r="L49" i="2"/>
  <c r="L66" i="2" s="1"/>
  <c r="P7" i="3"/>
  <c r="P8" i="3" s="1"/>
  <c r="X49" i="2"/>
  <c r="L55" i="2"/>
  <c r="W39" i="3"/>
  <c r="W52" i="3"/>
  <c r="X5" i="2"/>
  <c r="X3" i="2" s="1"/>
  <c r="W8" i="3"/>
  <c r="W54" i="3"/>
  <c r="N8" i="3"/>
  <c r="O41" i="3"/>
  <c r="O38" i="3"/>
  <c r="M6" i="3"/>
  <c r="M4" i="3"/>
  <c r="M3" i="2"/>
  <c r="M43" i="2" s="1"/>
  <c r="M45" i="2" s="1"/>
  <c r="N39" i="3"/>
  <c r="Y17" i="2"/>
  <c r="Y50" i="2" s="1"/>
  <c r="Y27" i="3"/>
  <c r="X28" i="3"/>
  <c r="N4" i="3"/>
  <c r="N6" i="3"/>
  <c r="AB7" i="2"/>
  <c r="AB13" i="3"/>
  <c r="AB8" i="2"/>
  <c r="P38" i="3"/>
  <c r="P39" i="3" s="1"/>
  <c r="Z21" i="3"/>
  <c r="Z13" i="2"/>
  <c r="X40" i="3"/>
  <c r="X41" i="3" s="1"/>
  <c r="X10" i="3"/>
  <c r="Y6" i="2"/>
  <c r="X36" i="3"/>
  <c r="V62" i="2"/>
  <c r="X52" i="2"/>
  <c r="X43" i="2" l="1"/>
  <c r="X45" i="2" s="1"/>
  <c r="X65" i="2" s="1"/>
  <c r="O39" i="3"/>
  <c r="O5" i="3"/>
  <c r="P5" i="3"/>
  <c r="N3" i="2"/>
  <c r="N43" i="2" s="1"/>
  <c r="N45" i="2" s="1"/>
  <c r="N65" i="2" s="1"/>
  <c r="M65" i="2"/>
  <c r="M52" i="2"/>
  <c r="Y52" i="2" s="1"/>
  <c r="M49" i="2"/>
  <c r="AC7" i="2"/>
  <c r="O8" i="3"/>
  <c r="AC13" i="3"/>
  <c r="AC8" i="2"/>
  <c r="Z17" i="2"/>
  <c r="Z50" i="2" s="1"/>
  <c r="Z27" i="3"/>
  <c r="X7" i="3"/>
  <c r="X37" i="3"/>
  <c r="X51" i="3"/>
  <c r="Z6" i="2"/>
  <c r="AA21" i="3"/>
  <c r="AA13" i="2"/>
  <c r="X38" i="3"/>
  <c r="X55" i="2"/>
  <c r="L56" i="2"/>
  <c r="X68" i="2" l="1"/>
  <c r="X66" i="2"/>
  <c r="P6" i="3"/>
  <c r="O3" i="3"/>
  <c r="O4" i="3" s="1"/>
  <c r="O6" i="3"/>
  <c r="N52" i="2"/>
  <c r="O3" i="2"/>
  <c r="O43" i="2" s="1"/>
  <c r="O45" i="2" s="1"/>
  <c r="O49" i="2" s="1"/>
  <c r="N49" i="2"/>
  <c r="P3" i="3"/>
  <c r="P4" i="3" s="1"/>
  <c r="X5" i="3"/>
  <c r="P3" i="2"/>
  <c r="P43" i="2" s="1"/>
  <c r="P45" i="2" s="1"/>
  <c r="X39" i="3"/>
  <c r="AA27" i="3"/>
  <c r="AA17" i="2"/>
  <c r="AA50" i="2" s="1"/>
  <c r="AB21" i="3"/>
  <c r="AB13" i="2"/>
  <c r="AA6" i="2"/>
  <c r="AD13" i="3"/>
  <c r="AD8" i="2"/>
  <c r="AD7" i="2"/>
  <c r="X8" i="3"/>
  <c r="X54" i="3"/>
  <c r="Y5" i="2"/>
  <c r="Y40" i="3"/>
  <c r="L59" i="2"/>
  <c r="L69" i="2" s="1"/>
  <c r="X56" i="2"/>
  <c r="O52" i="2" l="1"/>
  <c r="O65" i="2"/>
  <c r="Y4" i="2"/>
  <c r="Y43" i="2" s="1"/>
  <c r="X6" i="3"/>
  <c r="X53" i="3"/>
  <c r="X3" i="3"/>
  <c r="X4" i="3" s="1"/>
  <c r="Y41" i="3"/>
  <c r="AE8" i="2"/>
  <c r="AE13" i="3"/>
  <c r="AB6" i="2"/>
  <c r="AC21" i="3"/>
  <c r="AC13" i="2"/>
  <c r="AE7" i="2"/>
  <c r="AB27" i="3"/>
  <c r="AB17" i="2"/>
  <c r="AB50" i="2" s="1"/>
  <c r="AA36" i="3"/>
  <c r="Z40" i="3"/>
  <c r="P49" i="2"/>
  <c r="Y49" i="2" s="1"/>
  <c r="P52" i="2"/>
  <c r="P65" i="2"/>
  <c r="X60" i="2"/>
  <c r="X59" i="2"/>
  <c r="Y3" i="2" l="1"/>
  <c r="Z41" i="3"/>
  <c r="AC27" i="3"/>
  <c r="AC17" i="2"/>
  <c r="AC50" i="2" s="1"/>
  <c r="AD13" i="2"/>
  <c r="AD21" i="3"/>
  <c r="AB36" i="3"/>
  <c r="AA40" i="3"/>
  <c r="AF7" i="2"/>
  <c r="AC6" i="2"/>
  <c r="AF13" i="3"/>
  <c r="AF8" i="2"/>
  <c r="L61" i="2"/>
  <c r="L62" i="2" s="1"/>
  <c r="X69" i="2"/>
  <c r="X61" i="2"/>
  <c r="X62" i="2" s="1"/>
  <c r="X72" i="2"/>
  <c r="Y44" i="2" s="1"/>
  <c r="Y45" i="2" s="1"/>
  <c r="Y66" i="2" s="1"/>
  <c r="AG7" i="2" l="1"/>
  <c r="AG8" i="2"/>
  <c r="AG13" i="3"/>
  <c r="AD27" i="3"/>
  <c r="AD17" i="2"/>
  <c r="AD50" i="2" s="1"/>
  <c r="AA41" i="3"/>
  <c r="AE21" i="3"/>
  <c r="AE13" i="2"/>
  <c r="AD6" i="2"/>
  <c r="AB40" i="3"/>
  <c r="AC36" i="3"/>
  <c r="Y65" i="2"/>
  <c r="Y68" i="2"/>
  <c r="AD36" i="3" l="1"/>
  <c r="AC40" i="3"/>
  <c r="AE6" i="2"/>
  <c r="AE27" i="3"/>
  <c r="AE17" i="2"/>
  <c r="AE50" i="2" s="1"/>
  <c r="AH7" i="2"/>
  <c r="AB41" i="3"/>
  <c r="AH8" i="2"/>
  <c r="AH13" i="3"/>
  <c r="AF21" i="3"/>
  <c r="AF13" i="2"/>
  <c r="AI13" i="3" l="1"/>
  <c r="AJ8" i="2" s="1"/>
  <c r="AI8" i="2"/>
  <c r="AF27" i="3"/>
  <c r="AF17" i="2"/>
  <c r="AF50" i="2" s="1"/>
  <c r="AF6" i="2"/>
  <c r="AJ7" i="2"/>
  <c r="AI7" i="2"/>
  <c r="AG13" i="2"/>
  <c r="AG21" i="3"/>
  <c r="AC41" i="3"/>
  <c r="AE36" i="3"/>
  <c r="AD40" i="3"/>
  <c r="AH21" i="3" l="1"/>
  <c r="AH13" i="2"/>
  <c r="AG27" i="3"/>
  <c r="AG17" i="2"/>
  <c r="AG50" i="2" s="1"/>
  <c r="AD41" i="3"/>
  <c r="AG6" i="2"/>
  <c r="AF36" i="3"/>
  <c r="AE40" i="3"/>
  <c r="AE41" i="3" l="1"/>
  <c r="AH27" i="3"/>
  <c r="AH17" i="2"/>
  <c r="AH50" i="2" s="1"/>
  <c r="AH6" i="2"/>
  <c r="AG36" i="3"/>
  <c r="AF40" i="3"/>
  <c r="AI13" i="2"/>
  <c r="AI21" i="3"/>
  <c r="AJ13" i="2" s="1"/>
  <c r="AJ6" i="2" l="1"/>
  <c r="AI6" i="2"/>
  <c r="AI27" i="3"/>
  <c r="AJ17" i="2" s="1"/>
  <c r="AJ50" i="2" s="1"/>
  <c r="AI17" i="2"/>
  <c r="AI50" i="2" s="1"/>
  <c r="AF41" i="3"/>
  <c r="AG40" i="3"/>
  <c r="AH36" i="3"/>
  <c r="AG41" i="3" l="1"/>
  <c r="AI36" i="3"/>
  <c r="AI40" i="3" s="1"/>
  <c r="AH40" i="3"/>
  <c r="AH41" i="3" l="1"/>
  <c r="AI41" i="3"/>
  <c r="Z36" i="2"/>
  <c r="AA36" i="2" s="1"/>
  <c r="AB36" i="2" s="1"/>
  <c r="Y35" i="2"/>
  <c r="Z35" i="2" s="1"/>
  <c r="AA35" i="2" l="1"/>
  <c r="Z31" i="2"/>
  <c r="Z51" i="2" s="1"/>
  <c r="Y31" i="2"/>
  <c r="Y51" i="2" s="1"/>
  <c r="N51" i="2" l="1"/>
  <c r="N55" i="2" s="1"/>
  <c r="N56" i="2" s="1"/>
  <c r="N59" i="2" s="1"/>
  <c r="O51" i="2"/>
  <c r="O55" i="2" s="1"/>
  <c r="O56" i="2" s="1"/>
  <c r="O59" i="2" s="1"/>
  <c r="P51" i="2"/>
  <c r="P55" i="2" s="1"/>
  <c r="P56" i="2" s="1"/>
  <c r="P59" i="2" s="1"/>
  <c r="M51" i="2"/>
  <c r="M55" i="2" s="1"/>
  <c r="AB35" i="2"/>
  <c r="AA31" i="2"/>
  <c r="AA51" i="2" s="1"/>
  <c r="Y55" i="2" l="1"/>
  <c r="M56" i="2"/>
  <c r="P60" i="2"/>
  <c r="P61" i="2" s="1"/>
  <c r="P62" i="2" s="1"/>
  <c r="O60" i="2"/>
  <c r="O61" i="2" s="1"/>
  <c r="O62" i="2" s="1"/>
  <c r="N60" i="2"/>
  <c r="N61" i="2" s="1"/>
  <c r="N62" i="2" s="1"/>
  <c r="AC35" i="2"/>
  <c r="AB31" i="2"/>
  <c r="AB51" i="2" s="1"/>
  <c r="Y56" i="2" l="1"/>
  <c r="M59" i="2"/>
  <c r="AD35" i="2"/>
  <c r="AC31" i="2"/>
  <c r="AC51" i="2" s="1"/>
  <c r="Y59" i="2" l="1"/>
  <c r="M60" i="2"/>
  <c r="Y60" i="2" s="1"/>
  <c r="AE35" i="2"/>
  <c r="AD31" i="2"/>
  <c r="AD51" i="2" s="1"/>
  <c r="Y69" i="2" l="1"/>
  <c r="M61" i="2"/>
  <c r="M72" i="2" s="1"/>
  <c r="AE31" i="2"/>
  <c r="AE51" i="2" s="1"/>
  <c r="AF35" i="2"/>
  <c r="M62" i="2" l="1"/>
  <c r="Y61" i="2"/>
  <c r="Y72" i="2" s="1"/>
  <c r="Z44" i="2" s="1"/>
  <c r="N72" i="2"/>
  <c r="AG35" i="2"/>
  <c r="AF31" i="2"/>
  <c r="AF51" i="2" s="1"/>
  <c r="Y62" i="2" l="1"/>
  <c r="O72" i="2"/>
  <c r="AG31" i="2"/>
  <c r="AG51" i="2" s="1"/>
  <c r="AH35" i="2"/>
  <c r="P72" i="2" l="1"/>
  <c r="AI35" i="2"/>
  <c r="AH31" i="2"/>
  <c r="AH51" i="2" s="1"/>
  <c r="AI31" i="2" l="1"/>
  <c r="AI51" i="2" s="1"/>
  <c r="AJ35" i="2"/>
  <c r="AJ31" i="2" s="1"/>
  <c r="AJ51" i="2" s="1"/>
  <c r="Y7" i="3" l="1"/>
  <c r="Z5" i="2" s="1"/>
  <c r="Y8" i="3"/>
  <c r="Y38" i="3"/>
  <c r="Y39" i="3" s="1"/>
  <c r="Y5" i="3"/>
  <c r="Y3" i="3" s="1"/>
  <c r="Y4" i="3" s="1"/>
  <c r="Z4" i="2"/>
  <c r="Y6" i="3" l="1"/>
  <c r="Z43" i="2"/>
  <c r="Z45" i="2" s="1"/>
  <c r="Z3" i="2"/>
  <c r="Z65" i="2" l="1"/>
  <c r="Z49" i="2"/>
  <c r="Z52" i="2"/>
  <c r="Z55" i="2" s="1"/>
  <c r="Z56" i="2" l="1"/>
  <c r="Z59" i="2" s="1"/>
  <c r="Z60" i="2" l="1"/>
  <c r="Z61" i="2" s="1"/>
  <c r="Z62" i="2" l="1"/>
  <c r="Z72" i="2"/>
  <c r="AA44" i="2" s="1"/>
  <c r="AI38" i="3"/>
  <c r="AI5" i="3" s="1"/>
  <c r="AI39" i="3"/>
  <c r="AC38" i="3"/>
  <c r="AC5" i="3" s="1"/>
  <c r="Z38" i="3"/>
  <c r="Z39" i="3" s="1"/>
  <c r="Z5" i="3"/>
  <c r="AG38" i="3"/>
  <c r="AG7" i="3" s="1"/>
  <c r="AD38" i="3"/>
  <c r="AD7" i="3" s="1"/>
  <c r="AF38" i="3"/>
  <c r="AF7" i="3" s="1"/>
  <c r="AF5" i="3"/>
  <c r="AB38" i="3"/>
  <c r="AB5" i="3"/>
  <c r="AC4" i="2" s="1"/>
  <c r="AE38" i="3"/>
  <c r="AE7" i="3" s="1"/>
  <c r="AA38" i="3"/>
  <c r="AA5" i="3"/>
  <c r="AH38" i="3"/>
  <c r="AH5" i="3"/>
  <c r="AG5" i="3" l="1"/>
  <c r="AH39" i="3"/>
  <c r="AG39" i="3"/>
  <c r="AH7" i="3"/>
  <c r="AI5" i="2" s="1"/>
  <c r="AD5" i="3"/>
  <c r="AE4" i="2" s="1"/>
  <c r="AB39" i="3"/>
  <c r="AA6" i="3"/>
  <c r="AA39" i="3"/>
  <c r="AF3" i="3"/>
  <c r="AG6" i="3"/>
  <c r="AG4" i="2"/>
  <c r="AI4" i="2"/>
  <c r="AF39" i="3"/>
  <c r="AI7" i="3"/>
  <c r="AE5" i="3"/>
  <c r="AF4" i="2" s="1"/>
  <c r="AE8" i="3"/>
  <c r="AF5" i="2"/>
  <c r="AD4" i="2"/>
  <c r="AC6" i="3"/>
  <c r="AD6" i="3"/>
  <c r="AG8" i="3"/>
  <c r="AH5" i="2"/>
  <c r="AF8" i="3"/>
  <c r="AI6" i="3"/>
  <c r="AJ4" i="2"/>
  <c r="AE5" i="2"/>
  <c r="AE3" i="3"/>
  <c r="Z3" i="3"/>
  <c r="Z4" i="3" s="1"/>
  <c r="AB4" i="2"/>
  <c r="AG5" i="2"/>
  <c r="AH4" i="2"/>
  <c r="Z7" i="3"/>
  <c r="AD39" i="3"/>
  <c r="AH6" i="3"/>
  <c r="AB7" i="3"/>
  <c r="AB3" i="3" s="1"/>
  <c r="AG3" i="3"/>
  <c r="AA7" i="3"/>
  <c r="AE39" i="3"/>
  <c r="AC7" i="3"/>
  <c r="AC3" i="3" s="1"/>
  <c r="AC39" i="3"/>
  <c r="AB6" i="3"/>
  <c r="AA4" i="2"/>
  <c r="AH8" i="3"/>
  <c r="Z6" i="3"/>
  <c r="AD3" i="3" l="1"/>
  <c r="AE4" i="3" s="1"/>
  <c r="AE43" i="2"/>
  <c r="AG4" i="3"/>
  <c r="AI3" i="2"/>
  <c r="AH3" i="3"/>
  <c r="AF6" i="3"/>
  <c r="AI8" i="3"/>
  <c r="AJ5" i="2"/>
  <c r="AJ3" i="2" s="1"/>
  <c r="AI43" i="2"/>
  <c r="AE6" i="3"/>
  <c r="AC4" i="3"/>
  <c r="AI3" i="3"/>
  <c r="AD5" i="2"/>
  <c r="AD43" i="2" s="1"/>
  <c r="AC8" i="3"/>
  <c r="AA8" i="3"/>
  <c r="AA3" i="3"/>
  <c r="AA4" i="3" s="1"/>
  <c r="AB5" i="2"/>
  <c r="AB3" i="2" s="1"/>
  <c r="AF4" i="3"/>
  <c r="AH43" i="2"/>
  <c r="AH3" i="2"/>
  <c r="AB8" i="3"/>
  <c r="AC5" i="2"/>
  <c r="AE3" i="2"/>
  <c r="AJ43" i="2"/>
  <c r="Z8" i="3"/>
  <c r="AA5" i="2"/>
  <c r="AA43" i="2" s="1"/>
  <c r="AA45" i="2" s="1"/>
  <c r="AD4" i="3"/>
  <c r="AG43" i="2"/>
  <c r="AG3" i="2"/>
  <c r="AD8" i="3"/>
  <c r="AH4" i="3"/>
  <c r="AF3" i="2"/>
  <c r="AF43" i="2"/>
  <c r="AI4" i="3" l="1"/>
  <c r="AB43" i="2"/>
  <c r="AD3" i="2"/>
  <c r="AA52" i="2"/>
  <c r="AA55" i="2" s="1"/>
  <c r="AA65" i="2"/>
  <c r="AA49" i="2"/>
  <c r="AA3" i="2"/>
  <c r="AB4" i="3"/>
  <c r="AC43" i="2"/>
  <c r="AC3" i="2"/>
  <c r="AA56" i="2" l="1"/>
  <c r="AA59" i="2" s="1"/>
  <c r="AA60" i="2" s="1"/>
  <c r="AA61" i="2" s="1"/>
  <c r="AA72" i="2" l="1"/>
  <c r="AB44" i="2" s="1"/>
  <c r="AB45" i="2" s="1"/>
  <c r="AA62" i="2"/>
  <c r="AB52" i="2" l="1"/>
  <c r="AB55" i="2" s="1"/>
  <c r="AB49" i="2"/>
  <c r="AB65" i="2"/>
  <c r="AB56" i="2" l="1"/>
  <c r="AB59" i="2" s="1"/>
  <c r="AB60" i="2" s="1"/>
  <c r="AB61" i="2" s="1"/>
  <c r="AB62" i="2" l="1"/>
  <c r="AB72" i="2"/>
  <c r="AC44" i="2" s="1"/>
  <c r="AC45" i="2" s="1"/>
  <c r="AC52" i="2" l="1"/>
  <c r="AC55" i="2" s="1"/>
  <c r="AC65" i="2"/>
  <c r="AC49" i="2"/>
  <c r="AC56" i="2" l="1"/>
  <c r="AC59" i="2" s="1"/>
  <c r="AC60" i="2" s="1"/>
  <c r="AC61" i="2" s="1"/>
  <c r="AC72" i="2" l="1"/>
  <c r="AD44" i="2" s="1"/>
  <c r="AD45" i="2" s="1"/>
  <c r="AC62" i="2"/>
  <c r="AD49" i="2" l="1"/>
  <c r="AD52" i="2"/>
  <c r="AD55" i="2" s="1"/>
  <c r="AD65" i="2"/>
  <c r="AD56" i="2" l="1"/>
  <c r="AD59" i="2" s="1"/>
  <c r="AD60" i="2" l="1"/>
  <c r="AD61" i="2" s="1"/>
  <c r="AD72" i="2" l="1"/>
  <c r="AE44" i="2" s="1"/>
  <c r="AE45" i="2" s="1"/>
  <c r="AD62" i="2"/>
  <c r="AE52" i="2" l="1"/>
  <c r="AE55" i="2" s="1"/>
  <c r="AE49" i="2"/>
  <c r="AE65" i="2"/>
  <c r="AE56" i="2" l="1"/>
  <c r="AE59" i="2" s="1"/>
  <c r="AE60" i="2" s="1"/>
  <c r="AE61" i="2" s="1"/>
  <c r="AE72" i="2" l="1"/>
  <c r="AF44" i="2" s="1"/>
  <c r="AF45" i="2" s="1"/>
  <c r="AE62" i="2"/>
  <c r="AF49" i="2" l="1"/>
  <c r="AF65" i="2"/>
  <c r="AF52" i="2"/>
  <c r="AF55" i="2" s="1"/>
  <c r="AF56" i="2" l="1"/>
  <c r="AF59" i="2" s="1"/>
  <c r="AF60" i="2" l="1"/>
  <c r="AF61" i="2" s="1"/>
  <c r="AF72" i="2" l="1"/>
  <c r="AG44" i="2" s="1"/>
  <c r="AG45" i="2" s="1"/>
  <c r="AF62" i="2"/>
  <c r="AG49" i="2" l="1"/>
  <c r="AG52" i="2"/>
  <c r="AG55" i="2" s="1"/>
  <c r="AG65" i="2"/>
  <c r="AG56" i="2" l="1"/>
  <c r="AG59" i="2" s="1"/>
  <c r="AG60" i="2" l="1"/>
  <c r="AG61" i="2" s="1"/>
  <c r="AG72" i="2" l="1"/>
  <c r="AH44" i="2" s="1"/>
  <c r="AH45" i="2" s="1"/>
  <c r="AG62" i="2"/>
  <c r="AH65" i="2" l="1"/>
  <c r="AH49" i="2"/>
  <c r="AH52" i="2"/>
  <c r="AH55" i="2" s="1"/>
  <c r="AH56" i="2" l="1"/>
  <c r="AH59" i="2" s="1"/>
  <c r="AH60" i="2" l="1"/>
  <c r="AH61" i="2" s="1"/>
  <c r="AH62" i="2" l="1"/>
  <c r="AH72" i="2"/>
  <c r="AI44" i="2" s="1"/>
  <c r="AI45" i="2" s="1"/>
  <c r="AI52" i="2" l="1"/>
  <c r="AI55" i="2" s="1"/>
  <c r="AI65" i="2"/>
  <c r="AI49" i="2"/>
  <c r="AI56" i="2" l="1"/>
  <c r="AI59" i="2" s="1"/>
  <c r="AI60" i="2"/>
  <c r="AI61" i="2" s="1"/>
  <c r="AI72" i="2" l="1"/>
  <c r="AJ44" i="2" s="1"/>
  <c r="AJ45" i="2" s="1"/>
  <c r="AI62" i="2"/>
  <c r="AJ52" i="2" l="1"/>
  <c r="AJ55" i="2" s="1"/>
  <c r="AJ65" i="2"/>
  <c r="AJ49" i="2"/>
  <c r="AJ56" i="2" l="1"/>
  <c r="AJ59" i="2" s="1"/>
  <c r="AJ60" i="2" s="1"/>
  <c r="AJ61" i="2" s="1"/>
  <c r="AJ62" i="2" l="1"/>
  <c r="AJ72" i="2"/>
  <c r="AK61" i="2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BN61" i="2" s="1"/>
  <c r="BO61" i="2" s="1"/>
  <c r="BP61" i="2" s="1"/>
  <c r="BQ61" i="2" s="1"/>
  <c r="BR61" i="2" s="1"/>
  <c r="BS61" i="2" s="1"/>
  <c r="BT61" i="2" s="1"/>
  <c r="BU61" i="2" s="1"/>
  <c r="BV61" i="2" s="1"/>
  <c r="BW61" i="2" s="1"/>
  <c r="BX61" i="2" s="1"/>
  <c r="BY61" i="2" s="1"/>
  <c r="BZ61" i="2" s="1"/>
  <c r="CA61" i="2" s="1"/>
  <c r="CB61" i="2" s="1"/>
  <c r="CC61" i="2" s="1"/>
  <c r="CD61" i="2" s="1"/>
  <c r="CE61" i="2" s="1"/>
  <c r="CF61" i="2" s="1"/>
  <c r="CG61" i="2" s="1"/>
  <c r="CH61" i="2" s="1"/>
  <c r="CI61" i="2" s="1"/>
  <c r="CJ61" i="2" s="1"/>
  <c r="CK61" i="2" s="1"/>
  <c r="CL61" i="2" s="1"/>
  <c r="CM61" i="2" s="1"/>
  <c r="CN61" i="2" s="1"/>
  <c r="CO61" i="2" s="1"/>
  <c r="CP61" i="2" s="1"/>
  <c r="CQ61" i="2" s="1"/>
  <c r="CR61" i="2" s="1"/>
  <c r="CS61" i="2" s="1"/>
  <c r="CT61" i="2" s="1"/>
  <c r="CU61" i="2" s="1"/>
  <c r="CV61" i="2" s="1"/>
  <c r="CW61" i="2" s="1"/>
  <c r="CX61" i="2" s="1"/>
  <c r="CY61" i="2" s="1"/>
  <c r="CZ61" i="2" s="1"/>
  <c r="DA61" i="2" s="1"/>
  <c r="DB61" i="2" s="1"/>
  <c r="DC61" i="2" s="1"/>
  <c r="DD61" i="2" s="1"/>
  <c r="DE61" i="2" s="1"/>
  <c r="DF61" i="2" s="1"/>
  <c r="DG61" i="2" s="1"/>
  <c r="DH61" i="2" s="1"/>
  <c r="DI61" i="2" s="1"/>
  <c r="DJ61" i="2" s="1"/>
  <c r="DK61" i="2" s="1"/>
  <c r="DL61" i="2" s="1"/>
  <c r="DM61" i="2" s="1"/>
  <c r="DN61" i="2" s="1"/>
  <c r="DO61" i="2" s="1"/>
  <c r="DP61" i="2" s="1"/>
  <c r="DQ61" i="2" s="1"/>
  <c r="DR61" i="2" s="1"/>
  <c r="DS61" i="2" s="1"/>
  <c r="DT61" i="2" s="1"/>
  <c r="DU61" i="2" s="1"/>
  <c r="DV61" i="2" s="1"/>
  <c r="DW61" i="2" s="1"/>
  <c r="DX61" i="2" s="1"/>
  <c r="DY61" i="2" s="1"/>
  <c r="DZ61" i="2" s="1"/>
  <c r="EA61" i="2" s="1"/>
  <c r="EB61" i="2" s="1"/>
  <c r="EC61" i="2" s="1"/>
  <c r="ED61" i="2" s="1"/>
  <c r="EE61" i="2" s="1"/>
  <c r="EF61" i="2" s="1"/>
  <c r="EG61" i="2" s="1"/>
  <c r="EH61" i="2" s="1"/>
  <c r="EI61" i="2" s="1"/>
  <c r="EJ61" i="2" s="1"/>
  <c r="EK61" i="2" s="1"/>
  <c r="EL61" i="2" s="1"/>
  <c r="EM61" i="2" s="1"/>
  <c r="EN61" i="2" s="1"/>
  <c r="EO61" i="2" s="1"/>
  <c r="EP61" i="2" s="1"/>
  <c r="EQ61" i="2" s="1"/>
  <c r="AP71" i="2" s="1"/>
  <c r="AP72" i="2" s="1"/>
  <c r="AP73" i="2" s="1"/>
</calcChain>
</file>

<file path=xl/sharedStrings.xml><?xml version="1.0" encoding="utf-8"?>
<sst xmlns="http://schemas.openxmlformats.org/spreadsheetml/2006/main" count="224" uniqueCount="137">
  <si>
    <t>PayTM</t>
  </si>
  <si>
    <t>Cash</t>
  </si>
  <si>
    <t>Debt</t>
  </si>
  <si>
    <t>EV</t>
  </si>
  <si>
    <t>Market Cap</t>
  </si>
  <si>
    <t>Price</t>
  </si>
  <si>
    <t>Shares</t>
  </si>
  <si>
    <t>One97 Communications Ltd</t>
  </si>
  <si>
    <t>Management</t>
  </si>
  <si>
    <t>Notes:</t>
  </si>
  <si>
    <t>FY 2022-23</t>
  </si>
  <si>
    <t>IS</t>
  </si>
  <si>
    <t>Q324</t>
  </si>
  <si>
    <t>Revenue</t>
  </si>
  <si>
    <t>Other</t>
  </si>
  <si>
    <t>Operating Revenue</t>
  </si>
  <si>
    <t>Payment Processing Charges</t>
  </si>
  <si>
    <t>Marketing and Promotional</t>
  </si>
  <si>
    <t>Employee benefits</t>
  </si>
  <si>
    <t>Software, Cloud, datacenter</t>
  </si>
  <si>
    <t>D&amp;A</t>
  </si>
  <si>
    <t>Finance costs</t>
  </si>
  <si>
    <t>Gross Profit</t>
  </si>
  <si>
    <t>Cost of Revenue</t>
  </si>
  <si>
    <t>Operating Income</t>
  </si>
  <si>
    <t>Joint Ventures</t>
  </si>
  <si>
    <t>Pretax Income</t>
  </si>
  <si>
    <t>Taxes</t>
  </si>
  <si>
    <t>Net Income</t>
  </si>
  <si>
    <t>EPS</t>
  </si>
  <si>
    <t>OpEx</t>
  </si>
  <si>
    <t>Q224</t>
  </si>
  <si>
    <t>Exceptional Items</t>
  </si>
  <si>
    <t>Q323</t>
  </si>
  <si>
    <t>Q124</t>
  </si>
  <si>
    <t>Q423</t>
  </si>
  <si>
    <t>Q123</t>
  </si>
  <si>
    <t>Revenue Growth</t>
  </si>
  <si>
    <t>Gross Margin</t>
  </si>
  <si>
    <t>Tax Rate</t>
  </si>
  <si>
    <t>Q223</t>
  </si>
  <si>
    <t>Q422</t>
  </si>
  <si>
    <t>Q322</t>
  </si>
  <si>
    <t>FY23</t>
  </si>
  <si>
    <t>FY22</t>
  </si>
  <si>
    <t>FY21</t>
  </si>
  <si>
    <t>Insanely High Employee benefits expense???? - Company is profitable without it</t>
  </si>
  <si>
    <t>Revenue Breakdown</t>
  </si>
  <si>
    <t>PS Consumers</t>
  </si>
  <si>
    <t>PS Merchants</t>
  </si>
  <si>
    <t>FS to Others</t>
  </si>
  <si>
    <t>Cloud</t>
  </si>
  <si>
    <t>Commerce</t>
  </si>
  <si>
    <t>PPC</t>
  </si>
  <si>
    <t>Incentives</t>
  </si>
  <si>
    <t>Marketing</t>
  </si>
  <si>
    <t>Costs Breakdown - Direct</t>
  </si>
  <si>
    <t>Costs breakdown - Indirect</t>
  </si>
  <si>
    <t>Emp cost (EXCL ESOP)</t>
  </si>
  <si>
    <t>SCD</t>
  </si>
  <si>
    <t>Metrics</t>
  </si>
  <si>
    <t>GMV</t>
  </si>
  <si>
    <t>Merchant Trans</t>
  </si>
  <si>
    <t>Total Trans</t>
  </si>
  <si>
    <t>MTU avg</t>
  </si>
  <si>
    <t>Registered Merchants</t>
  </si>
  <si>
    <t xml:space="preserve"># Sale Employee </t>
  </si>
  <si>
    <t>Cost of Sales Employees</t>
  </si>
  <si>
    <t>MTU</t>
  </si>
  <si>
    <t>Rupee value of total payments made to merchants through trnasactions through Paytm services over a total period (no C2C)</t>
  </si>
  <si>
    <t>Number of unique users in a particular calandar month completed at least one transaction on the paytm app</t>
  </si>
  <si>
    <t>Salaries, Bonuses and Incentives</t>
  </si>
  <si>
    <t>constributions to funds</t>
  </si>
  <si>
    <t>Gratuity</t>
  </si>
  <si>
    <t>Staff welfare</t>
  </si>
  <si>
    <t>Leave encashment</t>
  </si>
  <si>
    <t>Share based payments</t>
  </si>
  <si>
    <t>BS</t>
  </si>
  <si>
    <t>Assets</t>
  </si>
  <si>
    <t>Net Cash</t>
  </si>
  <si>
    <t>Investments</t>
  </si>
  <si>
    <t>Trade receivables</t>
  </si>
  <si>
    <t>Loans</t>
  </si>
  <si>
    <t>CA</t>
  </si>
  <si>
    <t>PPE</t>
  </si>
  <si>
    <t>NCA</t>
  </si>
  <si>
    <t>Borrowings</t>
  </si>
  <si>
    <t>Lease Liab</t>
  </si>
  <si>
    <t>Trade payables</t>
  </si>
  <si>
    <t>CL</t>
  </si>
  <si>
    <t>Lease</t>
  </si>
  <si>
    <t>Contract</t>
  </si>
  <si>
    <t>NCL</t>
  </si>
  <si>
    <t>SE</t>
  </si>
  <si>
    <t>L</t>
  </si>
  <si>
    <t>SE+L</t>
  </si>
  <si>
    <t>Other fin liab</t>
  </si>
  <si>
    <t>Other CL</t>
  </si>
  <si>
    <t>Provisions</t>
  </si>
  <si>
    <t>Q424</t>
  </si>
  <si>
    <t>Q125</t>
  </si>
  <si>
    <t>Q225</t>
  </si>
  <si>
    <t>Q325</t>
  </si>
  <si>
    <t>Q425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</si>
  <si>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</si>
  <si>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</si>
  <si>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</si>
  <si>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</si>
  <si>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</si>
  <si>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</si>
  <si>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</si>
  <si>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</si>
  <si>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</si>
  <si>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</si>
  <si>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</si>
  <si>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</si>
  <si>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Avg Rev/Trans (NM)</t>
  </si>
  <si>
    <t>Avg Rev/Trans (M)</t>
  </si>
  <si>
    <t>% growth</t>
  </si>
  <si>
    <t>%merchant trans</t>
  </si>
  <si>
    <t>Avg Trans Vol</t>
  </si>
  <si>
    <t>PPC/GMV</t>
  </si>
  <si>
    <t>Salary/sales emp</t>
  </si>
  <si>
    <t xml:space="preserve">Finance Costs growth </t>
  </si>
  <si>
    <t>D&amp;A/Sales</t>
  </si>
  <si>
    <t>Terminal</t>
  </si>
  <si>
    <t>Discount</t>
  </si>
  <si>
    <t>ROIC</t>
  </si>
  <si>
    <t>NPV</t>
  </si>
  <si>
    <t>Difference</t>
  </si>
  <si>
    <t>MD &amp; CEO</t>
  </si>
  <si>
    <t>Vijay Shekhar Sharma</t>
  </si>
  <si>
    <t>CFO</t>
  </si>
  <si>
    <t>Madhur Deora</t>
  </si>
  <si>
    <t>-</t>
  </si>
  <si>
    <t>Commerce/ Marketing (Q424)</t>
  </si>
  <si>
    <t>FY36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</si>
</sst>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[$₹-4009]\ * #,##0.00_ ;_ [$₹-4009]\ * \-#,##0.00_ ;_ [$₹-4009]\ * &quot;-&quot;??_ ;_ @_ "/>
    <numFmt numFmtId="165" formatCode="#,##0_ ;\-#,##0\ "/>
    <numFmt numFmtId="166" formatCode="dd/mm/yy;@"/>
    <numFmt numFmtId="167" formatCode="0.000%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3" borderId="1" applyNumberFormat="0" applyAlignment="0" applyProtection="0"/>
  </cellStyleXfs>
  <cellXfs count="37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0" fontId="3" fillId="0" borderId="0" xfId="0" applyFont="1"/>
    <xf numFmtId="9" fontId="0" fillId="0" borderId="0" xfId="1" applyFont="1"/>
    <xf numFmtId="9" fontId="3" fillId="0" borderId="0" xfId="1" applyFont="1"/>
    <xf numFmtId="4" fontId="0" fillId="0" borderId="0" xfId="0" applyNumberFormat="1"/>
    <xf numFmtId="0" fontId="0" fillId="2" borderId="0" xfId="0" applyFill="1"/>
    <xf numFmtId="166" fontId="0" fillId="0" borderId="0" xfId="0" applyNumberFormat="1"/>
    <xf numFmtId="10" fontId="0" fillId="0" borderId="0" xfId="1" applyNumberFormat="1" applyFont="1"/>
    <xf numFmtId="164" fontId="2" fillId="0" borderId="0" xfId="1" applyNumberFormat="1" applyFont="1"/>
    <xf numFmtId="9" fontId="2" fillId="0" borderId="0" xfId="1" applyFont="1"/>
    <xf numFmtId="167" fontId="0" fillId="0" borderId="0" xfId="1" applyNumberFormat="1" applyFont="1"/>
    <xf numFmtId="0" fontId="5" fillId="0" borderId="0" xfId="0" applyFont="1"/>
    <xf numFmtId="9" fontId="5" fillId="0" borderId="0" xfId="1" applyFont="1"/>
    <xf numFmtId="9" fontId="4" fillId="3" borderId="1" xfId="2" applyNumberFormat="1"/>
    <xf numFmtId="9" fontId="6" fillId="3" borderId="1" xfId="2" applyNumberFormat="1" applyFont="1"/>
    <xf numFmtId="164" fontId="4" fillId="3" borderId="1" xfId="2" applyNumberFormat="1"/>
    <xf numFmtId="3" fontId="5" fillId="0" borderId="0" xfId="0" applyNumberFormat="1" applyFont="1"/>
    <xf numFmtId="3" fontId="4" fillId="3" borderId="1" xfId="2" applyNumberFormat="1"/>
    <xf numFmtId="3" fontId="0" fillId="0" borderId="0" xfId="1" applyNumberFormat="1" applyFont="1"/>
    <xf numFmtId="9" fontId="2" fillId="0" borderId="0" xfId="1" applyFont="1" applyFill="1" applyBorder="1"/>
    <xf numFmtId="168" fontId="0" fillId="0" borderId="0" xfId="0" applyNumberFormat="1"/>
    <xf numFmtId="9" fontId="0" fillId="0" borderId="0" xfId="0" applyNumberFormat="1"/>
    <xf numFmtId="9" fontId="3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/>
    <xf numFmtId="9" fontId="3" fillId="0" borderId="0" xfId="1" applyFont="1" applyFill="1" applyBorder="1"/>
    <xf numFmtId="3" fontId="1" fillId="2" borderId="0" xfId="0" applyNumberFormat="1" applyFont="1" applyFill="1"/>
    <xf numFmtId="3" fontId="0" fillId="2" borderId="0" xfId="0" applyNumberFormat="1" applyFill="1"/>
    <xf numFmtId="9" fontId="3" fillId="2" borderId="0" xfId="1" applyFont="1" applyFill="1"/>
  </cellXfs>
  <cellStyles count="3">
    <cellStyle name="Input" xfId="2" builtinId="20"/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753</xdr:colOff>
      <xdr:row>0</xdr:row>
      <xdr:rowOff>0</xdr:rowOff>
    </xdr:from>
    <xdr:to>
      <xdr:col>12</xdr:col>
      <xdr:colOff>753</xdr:colOff>
      <xdr:row>97</xdr:row>
      <xdr:rowOff>61912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4558A79-7207-2283-3E27-7C6EFD77BEC2}"/>
            </a:ext>
          </a:extLst>
        </xdr:cNvPr>
        <xdr:cNvCxnSpPr/>
      </xdr:nvCxnSpPr>
      <xdr:spPr>
        <a:xfrm>
          <a:off x="9320214" y="0"/>
          <a:ext cx="0" cy="17387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0</xdr:colOff>
      <xdr:row>93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E82AC5D-B235-3C11-9009-9FF336E8A07F}"/>
            </a:ext>
          </a:extLst>
        </xdr:cNvPr>
        <xdr:cNvCxnSpPr/>
      </xdr:nvCxnSpPr>
      <xdr:spPr>
        <a:xfrm>
          <a:off x="16167435" y="0"/>
          <a:ext cx="0" cy="16717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738188</xdr:colOff>
      <xdr:row>0</xdr:row>
      <xdr:rowOff>0</xdr:rowOff>
    </xdr:from>
    <xdr:to>
      <xdr:col>22</xdr:col>
      <xdr:colOff>738188</xdr:colOff>
      <xdr:row>61</xdr:row>
      <xdr:rowOff>142875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3E691C3-FB3A-4D87-938C-03FD3ADDCCE2}"/>
            </a:ext>
          </a:extLst>
        </xdr:cNvPr>
        <xdr:cNvCxnSpPr/>
      </xdr:nvCxnSpPr>
      <xdr:spPr>
        <a:xfrm>
          <a:off x="16297276" y="0"/>
          <a:ext cx="0" cy="11182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623887</xdr:colOff>
      <xdr:row>0</xdr:row>
      <xdr:rowOff>0</xdr:rowOff>
    </xdr:from>
    <xdr:to>
      <xdr:col>11</xdr:col>
      <xdr:colOff>623887</xdr:colOff>
      <xdr:row>61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51BFDA-776F-69A6-009F-E2DD0FCF9BB3}"/>
            </a:ext>
          </a:extLst>
        </xdr:cNvPr>
        <xdr:cNvCxnSpPr/>
      </xdr:nvCxnSpPr>
      <xdr:spPr>
        <a:xfrm>
          <a:off x="8886825" y="0"/>
          <a:ext cx="0" cy="11039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D86E-950F-43D4-AF00-F6E68AD4A766}">
  <dimension ref="B3:K18"/>
  <sheetViews>
    <sheetView workbookViewId="0">
      <selection activeCell="G5" sqref="G5"/>
    </sheetView>
  </sheetViews>
  <sheetFormatPr defaultRowHeight="14.25" x14ac:dyDescent="0.45"/>
  <cols>
    <col min="2" max="2" width="9.3984375" bestFit="1" customWidth="1"/>
    <col min="6" max="6" width="11" customWidth="1"/>
    <col min="7" max="7" width="13.73046875" customWidth="1"/>
    <col min="11" max="11" width="15.59765625" bestFit="1" customWidth="1"/>
  </cols>
  <sheetData>
    <row r="3" spans="2:11" x14ac:dyDescent="0.45">
      <c r="B3" s="2" t="s">
        <v>0</v>
      </c>
      <c r="K3" s="4"/>
    </row>
    <row r="4" spans="2:11" x14ac:dyDescent="0.45">
      <c r="B4" t="s">
        <v>7</v>
      </c>
      <c r="F4" t="s">
        <v>5</v>
      </c>
      <c r="G4" s="1">
        <v>383.95</v>
      </c>
    </row>
    <row r="5" spans="2:11" x14ac:dyDescent="0.45">
      <c r="F5" t="s">
        <v>6</v>
      </c>
      <c r="G5" s="3">
        <f>645793553/1000</f>
        <v>645793.55299999996</v>
      </c>
      <c r="H5" t="s">
        <v>10</v>
      </c>
    </row>
    <row r="6" spans="2:11" x14ac:dyDescent="0.45">
      <c r="F6" t="s">
        <v>4</v>
      </c>
      <c r="G6" s="4">
        <f>G5*G4/1000</f>
        <v>247952.43467434996</v>
      </c>
      <c r="K6" s="6"/>
    </row>
    <row r="7" spans="2:11" x14ac:dyDescent="0.45">
      <c r="F7" t="s">
        <v>2</v>
      </c>
      <c r="G7">
        <v>20</v>
      </c>
    </row>
    <row r="8" spans="2:11" x14ac:dyDescent="0.45">
      <c r="F8" t="s">
        <v>1</v>
      </c>
      <c r="G8">
        <f>33092+30029</f>
        <v>63121</v>
      </c>
    </row>
    <row r="9" spans="2:11" x14ac:dyDescent="0.45">
      <c r="F9" t="s">
        <v>3</v>
      </c>
      <c r="G9" s="4">
        <f>G6-G7+G8</f>
        <v>311053.43467434996</v>
      </c>
    </row>
    <row r="15" spans="2:11" x14ac:dyDescent="0.45">
      <c r="B15" s="2" t="s">
        <v>8</v>
      </c>
      <c r="F15" s="2" t="s">
        <v>9</v>
      </c>
    </row>
    <row r="16" spans="2:11" x14ac:dyDescent="0.45">
      <c r="B16" s="2" t="s">
        <v>130</v>
      </c>
      <c r="C16" t="s">
        <v>131</v>
      </c>
      <c r="F16" t="s">
        <v>46</v>
      </c>
    </row>
    <row r="17" spans="2:7" x14ac:dyDescent="0.45">
      <c r="B17" s="2" t="s">
        <v>132</v>
      </c>
      <c r="C17" t="s">
        <v>133</v>
      </c>
      <c r="F17" s="2" t="s">
        <v>61</v>
      </c>
      <c r="G17" t="s">
        <v>69</v>
      </c>
    </row>
    <row r="18" spans="2:7" x14ac:dyDescent="0.45">
      <c r="F18" s="2" t="s">
        <v>68</v>
      </c>
      <c r="G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CA62-D323-4BB6-9CE0-7385F7D5180F}">
  <dimension ref="B1:EQ102"/>
  <sheetViews>
    <sheetView tabSelected="1" zoomScale="95" workbookViewId="0">
      <pane xSplit="2" ySplit="2" topLeftCell="T21" activePane="bottomRight" state="frozen"/>
      <selection pane="topRight" activeCell="C1" sqref="C1"/>
      <selection pane="bottomLeft" activeCell="A3" sqref="A3"/>
      <selection pane="bottomRight" activeCell="AC34" sqref="AC34"/>
    </sheetView>
  </sheetViews>
  <sheetFormatPr defaultRowHeight="14.25" x14ac:dyDescent="0.45"/>
  <cols>
    <col min="2" max="2" width="30.265625" bestFit="1" customWidth="1"/>
    <col min="3" max="10" width="9.1328125" bestFit="1" customWidth="1"/>
    <col min="11" max="11" width="9.1328125" style="3" bestFit="1" customWidth="1"/>
    <col min="12" max="12" width="9.06640625" style="3"/>
    <col min="20" max="20" width="10.73046875" bestFit="1" customWidth="1"/>
    <col min="21" max="21" width="11" bestFit="1" customWidth="1"/>
    <col min="22" max="22" width="10.73046875" bestFit="1" customWidth="1"/>
    <col min="23" max="23" width="10.73046875" customWidth="1"/>
    <col min="27" max="27" width="10.1328125" bestFit="1" customWidth="1"/>
    <col min="41" max="41" width="10.3984375" bestFit="1" customWidth="1"/>
    <col min="42" max="42" width="12.59765625" bestFit="1" customWidth="1"/>
    <col min="45" max="45" width="12" bestFit="1" customWidth="1"/>
    <col min="110" max="147" width="10.1328125" bestFit="1" customWidth="1"/>
  </cols>
  <sheetData>
    <row r="1" spans="2:36" x14ac:dyDescent="0.45">
      <c r="C1" s="13">
        <v>44561</v>
      </c>
      <c r="D1" s="13">
        <v>44651</v>
      </c>
      <c r="E1" s="13">
        <v>44742</v>
      </c>
      <c r="F1" s="13">
        <v>44834</v>
      </c>
      <c r="G1" s="13">
        <v>44926</v>
      </c>
      <c r="H1" s="13">
        <v>45016</v>
      </c>
      <c r="I1" s="13">
        <v>45107</v>
      </c>
      <c r="J1" s="13">
        <v>45199</v>
      </c>
      <c r="K1" s="13">
        <v>45291</v>
      </c>
      <c r="L1" s="13">
        <v>45382</v>
      </c>
      <c r="M1">
        <v>1</v>
      </c>
      <c r="N1">
        <f t="shared" ref="N1:P1" si="0">M1+1</f>
        <v>2</v>
      </c>
      <c r="O1">
        <f t="shared" si="0"/>
        <v>3</v>
      </c>
      <c r="P1">
        <f t="shared" si="0"/>
        <v>4</v>
      </c>
      <c r="Q1" s="13"/>
      <c r="R1" s="13"/>
      <c r="S1" s="13"/>
      <c r="T1" s="13">
        <v>44286</v>
      </c>
      <c r="U1" s="13">
        <v>44651</v>
      </c>
      <c r="V1" s="13">
        <v>45016</v>
      </c>
      <c r="W1" s="13">
        <v>45382</v>
      </c>
      <c r="X1">
        <v>1</v>
      </c>
      <c r="Y1">
        <f>X1+1</f>
        <v>2</v>
      </c>
      <c r="Z1">
        <f t="shared" ref="Z1:AJ1" si="1">Y1+1</f>
        <v>3</v>
      </c>
      <c r="AA1">
        <f t="shared" si="1"/>
        <v>4</v>
      </c>
      <c r="AB1">
        <f t="shared" si="1"/>
        <v>5</v>
      </c>
      <c r="AC1">
        <f t="shared" si="1"/>
        <v>6</v>
      </c>
      <c r="AD1">
        <f t="shared" si="1"/>
        <v>7</v>
      </c>
      <c r="AE1">
        <f t="shared" si="1"/>
        <v>8</v>
      </c>
      <c r="AF1">
        <f t="shared" si="1"/>
        <v>9</v>
      </c>
      <c r="AG1">
        <f t="shared" si="1"/>
        <v>10</v>
      </c>
      <c r="AH1">
        <f t="shared" si="1"/>
        <v>11</v>
      </c>
      <c r="AI1">
        <f t="shared" si="1"/>
        <v>12</v>
      </c>
      <c r="AJ1">
        <f t="shared" si="1"/>
        <v>13</v>
      </c>
    </row>
    <row r="2" spans="2:36" x14ac:dyDescent="0.45">
      <c r="C2" t="s">
        <v>42</v>
      </c>
      <c r="D2" t="s">
        <v>41</v>
      </c>
      <c r="E2" t="s">
        <v>36</v>
      </c>
      <c r="F2" t="s">
        <v>40</v>
      </c>
      <c r="G2" t="s">
        <v>33</v>
      </c>
      <c r="H2" t="s">
        <v>35</v>
      </c>
      <c r="I2" t="s">
        <v>34</v>
      </c>
      <c r="J2" t="s">
        <v>31</v>
      </c>
      <c r="K2" t="s">
        <v>12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T2" s="31" t="s">
        <v>45</v>
      </c>
      <c r="U2" s="31" t="s">
        <v>44</v>
      </c>
      <c r="V2" s="31" t="s">
        <v>43</v>
      </c>
      <c r="W2" s="31" t="s">
        <v>104</v>
      </c>
      <c r="X2" s="31" t="s">
        <v>105</v>
      </c>
      <c r="Y2" s="31" t="s">
        <v>105</v>
      </c>
      <c r="Z2" s="31" t="s">
        <v>106</v>
      </c>
      <c r="AA2" s="31" t="s">
        <v>107</v>
      </c>
      <c r="AB2" s="31" t="s">
        <v>108</v>
      </c>
      <c r="AC2" s="31" t="s">
        <v>109</v>
      </c>
      <c r="AD2" s="31" t="s">
        <v>110</v>
      </c>
      <c r="AE2" s="31" t="s">
        <v>111</v>
      </c>
      <c r="AF2" s="31" t="s">
        <v>112</v>
      </c>
      <c r="AG2" s="31" t="s">
        <v>113</v>
      </c>
      <c r="AH2" s="31" t="s">
        <v>114</v>
      </c>
      <c r="AI2" s="31" t="s">
        <v>115</v>
      </c>
      <c r="AJ2" s="31" t="s">
        <v>136</v>
      </c>
    </row>
    <row r="3" spans="2:36" x14ac:dyDescent="0.45">
      <c r="B3" s="2" t="s">
        <v>47</v>
      </c>
      <c r="C3" s="7">
        <f>SUM(C4:C9)</f>
        <v>14561</v>
      </c>
      <c r="D3" s="7">
        <f t="shared" ref="D3:P3" si="2">SUM(D4:D9)</f>
        <v>15410</v>
      </c>
      <c r="E3" s="7">
        <f t="shared" si="2"/>
        <v>16810</v>
      </c>
      <c r="F3" s="7">
        <f t="shared" si="2"/>
        <v>19140</v>
      </c>
      <c r="G3" s="7">
        <f t="shared" si="2"/>
        <v>20630</v>
      </c>
      <c r="H3" s="7">
        <f t="shared" si="2"/>
        <v>23350</v>
      </c>
      <c r="I3" s="7">
        <f t="shared" si="2"/>
        <v>23420</v>
      </c>
      <c r="J3" s="7">
        <f t="shared" si="2"/>
        <v>25190</v>
      </c>
      <c r="K3" s="7">
        <f t="shared" si="2"/>
        <v>28510</v>
      </c>
      <c r="L3" s="7">
        <f t="shared" si="2"/>
        <v>22680</v>
      </c>
      <c r="M3" s="7">
        <f t="shared" si="2"/>
        <v>24978.408846250011</v>
      </c>
      <c r="N3" s="7">
        <f t="shared" si="2"/>
        <v>27325.596789844061</v>
      </c>
      <c r="O3" s="7">
        <f t="shared" si="2"/>
        <v>31965.457116763871</v>
      </c>
      <c r="P3" s="7">
        <f t="shared" si="2"/>
        <v>26805.99286228307</v>
      </c>
      <c r="T3" s="7">
        <f>SUM(T4:T9)</f>
        <v>0</v>
      </c>
      <c r="U3" s="7">
        <f t="shared" ref="U3:W3" si="3">SUM(U4:U9)</f>
        <v>49742</v>
      </c>
      <c r="V3" s="7">
        <f t="shared" si="3"/>
        <v>79903</v>
      </c>
      <c r="W3" s="7">
        <f t="shared" si="3"/>
        <v>83103</v>
      </c>
      <c r="X3" s="7">
        <f t="shared" ref="X3" si="4">SUM(X4:X9)</f>
        <v>99800</v>
      </c>
      <c r="Y3" s="7">
        <f t="shared" ref="Y3" si="5">SUM(Y4:Y9)</f>
        <v>111075.45561514101</v>
      </c>
      <c r="Z3" s="7">
        <f t="shared" ref="Z3" si="6">SUM(Z4:Z9)</f>
        <v>127756.43000000001</v>
      </c>
      <c r="AA3" s="7">
        <f t="shared" ref="AA3" si="7">SUM(AA4:AA9)</f>
        <v>149830.49946634614</v>
      </c>
      <c r="AB3" s="7">
        <f t="shared" ref="AB3" si="8">SUM(AB4:AB9)</f>
        <v>174016.81351960188</v>
      </c>
      <c r="AC3" s="7">
        <f t="shared" ref="AC3" si="9">SUM(AC4:AC9)</f>
        <v>196308.83107573239</v>
      </c>
      <c r="AD3" s="7">
        <f t="shared" ref="AD3" si="10">SUM(AD4:AD9)</f>
        <v>212893.67245500919</v>
      </c>
      <c r="AE3" s="7">
        <f t="shared" ref="AE3" si="11">SUM(AE4:AE9)</f>
        <v>222383.1983223953</v>
      </c>
      <c r="AF3" s="7">
        <f t="shared" ref="AF3" si="12">SUM(AF4:AF9)</f>
        <v>238791.91530075099</v>
      </c>
      <c r="AG3" s="7">
        <f t="shared" ref="AG3" si="13">SUM(AG4:AG9)</f>
        <v>257946.2902135904</v>
      </c>
      <c r="AH3" s="7">
        <f t="shared" ref="AH3" si="14">SUM(AH4:AH9)</f>
        <v>280349.78424904036</v>
      </c>
      <c r="AI3" s="7">
        <f t="shared" ref="AI3" si="15">SUM(AI4:AI9)</f>
        <v>306599.99222965783</v>
      </c>
      <c r="AJ3" s="7">
        <f t="shared" ref="AJ3" si="16">SUM(AJ4:AJ9)</f>
        <v>337406.48661781824</v>
      </c>
    </row>
    <row r="4" spans="2:36" x14ac:dyDescent="0.45">
      <c r="B4" t="s">
        <v>48</v>
      </c>
      <c r="C4" s="3">
        <v>4058</v>
      </c>
      <c r="D4" s="3">
        <v>4690</v>
      </c>
      <c r="E4" s="3">
        <v>5190</v>
      </c>
      <c r="F4" s="3">
        <v>5490</v>
      </c>
      <c r="G4" s="3">
        <v>5130</v>
      </c>
      <c r="H4" s="3">
        <v>5240</v>
      </c>
      <c r="I4" s="3">
        <v>5540</v>
      </c>
      <c r="J4" s="3">
        <v>5790</v>
      </c>
      <c r="K4" s="3">
        <v>5980</v>
      </c>
      <c r="L4" s="3">
        <f>'Revenue and costs build'!L5</f>
        <v>4380</v>
      </c>
      <c r="M4" s="3">
        <f>'Revenue and costs build'!M5</f>
        <v>4554.5310216970693</v>
      </c>
      <c r="N4" s="3">
        <f>'Revenue and costs build'!N5</f>
        <v>5212.7873441880965</v>
      </c>
      <c r="O4" s="3">
        <f>'Revenue and costs build'!O5</f>
        <v>5984.1621036040569</v>
      </c>
      <c r="P4" s="3">
        <f>'Revenue and costs build'!P5</f>
        <v>5274.7522360439671</v>
      </c>
      <c r="T4" s="3"/>
      <c r="U4" s="3">
        <v>15286</v>
      </c>
      <c r="V4" s="3">
        <f>SUM(E4:H4)</f>
        <v>21050</v>
      </c>
      <c r="W4" s="3">
        <f>SUM(F4:I4)</f>
        <v>21400</v>
      </c>
      <c r="X4" s="3">
        <f>'Revenue and costs build'!W5</f>
        <v>21690</v>
      </c>
      <c r="Y4" s="3">
        <f>'Revenue and costs build'!X5</f>
        <v>21026.232705533192</v>
      </c>
      <c r="Z4" s="3">
        <f>'Revenue and costs build'!Y5</f>
        <v>28492.5</v>
      </c>
      <c r="AA4" s="3">
        <f>'Revenue and costs build'!Z5</f>
        <v>30483.659062500014</v>
      </c>
      <c r="AB4" s="3">
        <f>'Revenue and costs build'!AA5</f>
        <v>36121.706362135905</v>
      </c>
      <c r="AC4" s="3">
        <f>'Revenue and costs build'!AB5</f>
        <v>41014.651187429699</v>
      </c>
      <c r="AD4" s="3">
        <f>'Revenue and costs build'!AC5</f>
        <v>41115.278495895276</v>
      </c>
      <c r="AE4" s="3">
        <f>'Revenue and costs build'!AD5</f>
        <v>35515.145462375738</v>
      </c>
      <c r="AF4" s="3">
        <f>'Revenue and costs build'!AE5</f>
        <v>36807.744150841223</v>
      </c>
      <c r="AG4" s="3">
        <f>'Revenue and costs build'!AF5</f>
        <v>38141.966190492669</v>
      </c>
      <c r="AH4" s="3">
        <f>'Revenue and costs build'!AG5</f>
        <v>39519.311608772005</v>
      </c>
      <c r="AI4" s="3">
        <f>'Revenue and costs build'!AH5</f>
        <v>40941.345676588309</v>
      </c>
      <c r="AJ4" s="3">
        <f>'Revenue and costs build'!AI5</f>
        <v>42409.70237588945</v>
      </c>
    </row>
    <row r="5" spans="2:36" x14ac:dyDescent="0.45">
      <c r="B5" t="s">
        <v>49</v>
      </c>
      <c r="C5" s="3">
        <v>5858</v>
      </c>
      <c r="D5" s="3">
        <v>5720</v>
      </c>
      <c r="E5" s="3">
        <v>5570</v>
      </c>
      <c r="F5" s="3">
        <v>6240</v>
      </c>
      <c r="G5" s="3">
        <v>6400</v>
      </c>
      <c r="H5" s="3">
        <v>9180</v>
      </c>
      <c r="I5" s="3">
        <v>8420</v>
      </c>
      <c r="J5" s="3">
        <v>9210</v>
      </c>
      <c r="K5" s="3">
        <v>10810</v>
      </c>
      <c r="L5" s="3">
        <f>'Revenue and costs build'!L7</f>
        <v>11170</v>
      </c>
      <c r="M5" s="3">
        <f>'Revenue and costs build'!M7</f>
        <v>13442.277824552943</v>
      </c>
      <c r="N5" s="3">
        <f>'Revenue and costs build'!N7</f>
        <v>14415.609445655966</v>
      </c>
      <c r="O5" s="3">
        <f>'Revenue and costs build'!O7</f>
        <v>15812.695013159815</v>
      </c>
      <c r="P5" s="3">
        <f>'Revenue and costs build'!P7</f>
        <v>13994.240626239103</v>
      </c>
      <c r="T5" s="3"/>
      <c r="U5" s="3">
        <v>18919</v>
      </c>
      <c r="V5" s="3">
        <f>SUM(E5:H5)+1</f>
        <v>27391</v>
      </c>
      <c r="W5" s="3">
        <f>SUM(F5:I5)+1</f>
        <v>30241</v>
      </c>
      <c r="X5" s="3">
        <f>'Revenue and costs build'!W7</f>
        <v>39610</v>
      </c>
      <c r="Y5" s="3">
        <f>'Revenue and costs build'!X7</f>
        <v>57664.822909607821</v>
      </c>
      <c r="Z5" s="3">
        <f>'Revenue and costs build'!Y7</f>
        <v>61242.500000000007</v>
      </c>
      <c r="AA5" s="3">
        <f>'Revenue and costs build'!Z7</f>
        <v>74686.951903846144</v>
      </c>
      <c r="AB5" s="3">
        <f>'Revenue and costs build'!AA7</f>
        <v>85413.942582466014</v>
      </c>
      <c r="AC5" s="3">
        <f>'Revenue and costs build'!AB7</f>
        <v>93594.08926705271</v>
      </c>
      <c r="AD5" s="3">
        <f>'Revenue and costs build'!AC7</f>
        <v>99207.18811267642</v>
      </c>
      <c r="AE5" s="3">
        <f>'Revenue and costs build'!AD7</f>
        <v>101471.84417821646</v>
      </c>
      <c r="AF5" s="3">
        <f>'Revenue and costs build'!AE7</f>
        <v>101451.34481575621</v>
      </c>
      <c r="AG5" s="3">
        <f>'Revenue and costs build'!AF7</f>
        <v>101398.95011872517</v>
      </c>
      <c r="AH5" s="3">
        <f>'Revenue and costs build'!AG7</f>
        <v>101313.1443061247</v>
      </c>
      <c r="AI5" s="3">
        <f>'Revenue and costs build'!AH7</f>
        <v>101192.34095586606</v>
      </c>
      <c r="AJ5" s="3">
        <f>'Revenue and costs build'!AI7</f>
        <v>101034.87918961895</v>
      </c>
    </row>
    <row r="6" spans="2:36" x14ac:dyDescent="0.45">
      <c r="B6" t="s">
        <v>50</v>
      </c>
      <c r="C6" s="3">
        <v>1252</v>
      </c>
      <c r="D6" s="3">
        <v>1680</v>
      </c>
      <c r="E6" s="3">
        <v>2710</v>
      </c>
      <c r="F6" s="3">
        <v>3490</v>
      </c>
      <c r="G6" s="3">
        <v>4460</v>
      </c>
      <c r="H6" s="3">
        <v>4750</v>
      </c>
      <c r="I6" s="3">
        <v>5220</v>
      </c>
      <c r="J6" s="3">
        <v>5710</v>
      </c>
      <c r="K6" s="3">
        <v>6070</v>
      </c>
      <c r="L6" s="3">
        <f>'Revenue and costs build'!L9</f>
        <v>3040</v>
      </c>
      <c r="M6" s="3">
        <f>'Revenue and costs build'!M9</f>
        <v>3549.5999999999995</v>
      </c>
      <c r="N6" s="3">
        <f>'Revenue and costs build'!N9</f>
        <v>4111.2</v>
      </c>
      <c r="O6" s="3">
        <f>'Revenue and costs build'!O9</f>
        <v>4734.6000000000004</v>
      </c>
      <c r="P6" s="3">
        <f>'Revenue and costs build'!P9</f>
        <v>3192</v>
      </c>
      <c r="T6" s="3"/>
      <c r="U6" s="3">
        <v>4372</v>
      </c>
      <c r="V6" s="3">
        <v>15404</v>
      </c>
      <c r="W6" s="3">
        <v>15404</v>
      </c>
      <c r="X6" s="3">
        <f>'Revenue and costs build'!W9</f>
        <v>20040</v>
      </c>
      <c r="Y6" s="3">
        <f>'Revenue and costs build'!X9</f>
        <v>15587.4</v>
      </c>
      <c r="Z6" s="3">
        <f>'Revenue and costs build'!Y9</f>
        <v>18704.879999999997</v>
      </c>
      <c r="AA6" s="3">
        <f>'Revenue and costs build'!Z9</f>
        <v>22445.855999999996</v>
      </c>
      <c r="AB6" s="3">
        <f>'Revenue and costs build'!AA9</f>
        <v>26935.027199999993</v>
      </c>
      <c r="AC6" s="3">
        <f>'Revenue and costs build'!AB9</f>
        <v>32322.03263999999</v>
      </c>
      <c r="AD6" s="3">
        <f>'Revenue and costs build'!AC9</f>
        <v>38786.43916799999</v>
      </c>
      <c r="AE6" s="3">
        <f>'Revenue and costs build'!AD9</f>
        <v>46543.727001599989</v>
      </c>
      <c r="AF6" s="3">
        <f>'Revenue and costs build'!AE9</f>
        <v>55852.472401919986</v>
      </c>
      <c r="AG6" s="3">
        <f>'Revenue and costs build'!AF9</f>
        <v>67022.966882303983</v>
      </c>
      <c r="AH6" s="3">
        <f>'Revenue and costs build'!AG9</f>
        <v>80427.560258764774</v>
      </c>
      <c r="AI6" s="3">
        <f>'Revenue and costs build'!AH9</f>
        <v>96513.072310517731</v>
      </c>
      <c r="AJ6" s="3">
        <f>'Revenue and costs build'!AI9</f>
        <v>115815.68677262128</v>
      </c>
    </row>
    <row r="7" spans="2:36" x14ac:dyDescent="0.45">
      <c r="B7" t="s">
        <v>52</v>
      </c>
      <c r="C7" s="3">
        <v>1348</v>
      </c>
      <c r="D7" s="3">
        <v>1030</v>
      </c>
      <c r="E7" s="3">
        <v>1390</v>
      </c>
      <c r="F7" s="3">
        <v>1250</v>
      </c>
      <c r="G7" s="3">
        <v>1850</v>
      </c>
      <c r="H7" s="3">
        <v>1680</v>
      </c>
      <c r="I7" s="3">
        <v>1560</v>
      </c>
      <c r="J7" s="3">
        <v>1630</v>
      </c>
      <c r="K7" s="3">
        <v>2470</v>
      </c>
      <c r="L7" s="3">
        <f>'Revenue and costs build'!L11</f>
        <v>3950</v>
      </c>
      <c r="M7" s="3">
        <f>'Revenue and costs build'!M11</f>
        <v>3432.0000000000005</v>
      </c>
      <c r="N7" s="3">
        <f>'Revenue and costs build'!N11</f>
        <v>3586.0000000000005</v>
      </c>
      <c r="O7" s="3">
        <f>'Revenue and costs build'!O11</f>
        <v>5434</v>
      </c>
      <c r="P7" s="3">
        <f>'Revenue and costs build'!P11</f>
        <v>4345</v>
      </c>
      <c r="T7" s="3"/>
      <c r="U7" s="3">
        <v>3736</v>
      </c>
      <c r="V7" s="3">
        <v>6153</v>
      </c>
      <c r="W7" s="3">
        <v>6153</v>
      </c>
      <c r="X7" s="3">
        <f>'Revenue and costs build'!W11</f>
        <v>9610</v>
      </c>
      <c r="Y7" s="3">
        <f>'Revenue and costs build'!X11</f>
        <v>16797</v>
      </c>
      <c r="Z7" s="3">
        <f>'Revenue and costs build'!Y11</f>
        <v>19316.55</v>
      </c>
      <c r="AA7" s="3">
        <f>'Revenue and costs build'!Z11</f>
        <v>22214.032499999998</v>
      </c>
      <c r="AB7" s="3">
        <f>'Revenue and costs build'!AA11</f>
        <v>25546.137374999995</v>
      </c>
      <c r="AC7" s="3">
        <f>'Revenue and costs build'!AB11</f>
        <v>29378.057981249993</v>
      </c>
      <c r="AD7" s="3">
        <f>'Revenue and costs build'!AC11</f>
        <v>33784.766678437489</v>
      </c>
      <c r="AE7" s="3">
        <f>'Revenue and costs build'!AD11</f>
        <v>38852.481680203105</v>
      </c>
      <c r="AF7" s="3">
        <f>'Revenue and costs build'!AE11</f>
        <v>44680.353932233571</v>
      </c>
      <c r="AG7" s="3">
        <f>'Revenue and costs build'!AF11</f>
        <v>51382.407022068604</v>
      </c>
      <c r="AH7" s="3">
        <f>'Revenue and costs build'!AG11</f>
        <v>59089.768075378888</v>
      </c>
      <c r="AI7" s="3">
        <f>'Revenue and costs build'!AH11</f>
        <v>67953.233286685718</v>
      </c>
      <c r="AJ7" s="3">
        <f>'Revenue and costs build'!AI11</f>
        <v>78146.218279688575</v>
      </c>
    </row>
    <row r="8" spans="2:36" x14ac:dyDescent="0.45">
      <c r="B8" t="s">
        <v>51</v>
      </c>
      <c r="C8" s="3">
        <v>2045</v>
      </c>
      <c r="D8" s="3">
        <v>2170</v>
      </c>
      <c r="E8" s="3">
        <v>1930</v>
      </c>
      <c r="F8" s="3">
        <v>2520</v>
      </c>
      <c r="G8" s="3">
        <v>2350</v>
      </c>
      <c r="H8" s="3">
        <v>2250</v>
      </c>
      <c r="I8" s="3">
        <v>2490</v>
      </c>
      <c r="J8" s="3">
        <v>2610</v>
      </c>
      <c r="K8" s="3">
        <v>2670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T8" s="3"/>
      <c r="U8" s="3">
        <v>7312</v>
      </c>
      <c r="V8" s="3">
        <v>9046</v>
      </c>
      <c r="W8" s="3">
        <v>9046</v>
      </c>
      <c r="X8" s="3">
        <f>'Revenue and costs build'!W13</f>
        <v>7770</v>
      </c>
      <c r="Y8" s="3">
        <f>'Revenue and costs build'!X13</f>
        <v>0</v>
      </c>
      <c r="Z8" s="3">
        <f>'Revenue and costs build'!Y13</f>
        <v>0</v>
      </c>
      <c r="AA8" s="3">
        <f>'Revenue and costs build'!Z13</f>
        <v>0</v>
      </c>
      <c r="AB8" s="3">
        <f>'Revenue and costs build'!AA13</f>
        <v>0</v>
      </c>
      <c r="AC8" s="3">
        <f>'Revenue and costs build'!AB13</f>
        <v>0</v>
      </c>
      <c r="AD8" s="3">
        <f>'Revenue and costs build'!AC13</f>
        <v>0</v>
      </c>
      <c r="AE8" s="3">
        <f>'Revenue and costs build'!AD13</f>
        <v>0</v>
      </c>
      <c r="AF8" s="3">
        <f>'Revenue and costs build'!AE13</f>
        <v>0</v>
      </c>
      <c r="AG8" s="3">
        <f>'Revenue and costs build'!AF13</f>
        <v>0</v>
      </c>
      <c r="AH8" s="3">
        <f>'Revenue and costs build'!AG13</f>
        <v>0</v>
      </c>
      <c r="AI8" s="3">
        <f>'Revenue and costs build'!AH13</f>
        <v>0</v>
      </c>
      <c r="AJ8" s="3">
        <f>'Revenue and costs build'!AI13</f>
        <v>0</v>
      </c>
    </row>
    <row r="9" spans="2:36" x14ac:dyDescent="0.45">
      <c r="B9" t="s">
        <v>14</v>
      </c>
      <c r="C9" s="3">
        <v>0</v>
      </c>
      <c r="D9" s="3">
        <v>120</v>
      </c>
      <c r="E9" s="3">
        <v>20</v>
      </c>
      <c r="F9" s="3">
        <v>150</v>
      </c>
      <c r="G9" s="3">
        <v>440</v>
      </c>
      <c r="H9" s="3">
        <v>250</v>
      </c>
      <c r="I9" s="3">
        <v>190</v>
      </c>
      <c r="J9" s="3">
        <v>240</v>
      </c>
      <c r="K9" s="3">
        <v>510</v>
      </c>
      <c r="L9" s="3">
        <f>'Revenue and costs build'!L15</f>
        <v>140</v>
      </c>
      <c r="M9" s="3">
        <f>'Revenue and costs build'!M15</f>
        <v>0</v>
      </c>
      <c r="N9" s="3">
        <f>'Revenue and costs build'!N15</f>
        <v>0</v>
      </c>
      <c r="O9" s="3">
        <f>'Revenue and costs build'!O15</f>
        <v>0</v>
      </c>
      <c r="P9" s="3">
        <f>'Revenue and costs build'!P15</f>
        <v>0</v>
      </c>
      <c r="T9" s="3"/>
      <c r="U9" s="3">
        <v>117</v>
      </c>
      <c r="V9" s="3">
        <v>859</v>
      </c>
      <c r="W9" s="3">
        <v>859</v>
      </c>
      <c r="X9" s="3">
        <f>'Revenue and costs build'!W15</f>
        <v>1080</v>
      </c>
      <c r="Y9" s="3">
        <f>'Revenue and costs build'!X15</f>
        <v>0</v>
      </c>
      <c r="Z9" s="3">
        <f>'Revenue and costs build'!Y15</f>
        <v>0</v>
      </c>
      <c r="AA9" s="3">
        <f>'Revenue and costs build'!Z15</f>
        <v>0</v>
      </c>
      <c r="AB9" s="3">
        <f>'Revenue and costs build'!AA15</f>
        <v>0</v>
      </c>
      <c r="AC9" s="3">
        <f>'Revenue and costs build'!AB15</f>
        <v>0</v>
      </c>
      <c r="AD9" s="3">
        <f>'Revenue and costs build'!AC15</f>
        <v>0</v>
      </c>
      <c r="AE9" s="3">
        <f>'Revenue and costs build'!AD15</f>
        <v>0</v>
      </c>
      <c r="AF9" s="3">
        <f>'Revenue and costs build'!AE15</f>
        <v>0</v>
      </c>
      <c r="AG9" s="3">
        <f>'Revenue and costs build'!AF15</f>
        <v>0</v>
      </c>
      <c r="AH9" s="3">
        <f>'Revenue and costs build'!AG15</f>
        <v>0</v>
      </c>
      <c r="AI9" s="3">
        <f>'Revenue and costs build'!AH15</f>
        <v>0</v>
      </c>
      <c r="AJ9" s="3">
        <f>'Revenue and costs build'!AI15</f>
        <v>0</v>
      </c>
    </row>
    <row r="10" spans="2:36" x14ac:dyDescent="0.45">
      <c r="C10" s="3"/>
      <c r="D10" s="3"/>
      <c r="E10" s="3"/>
      <c r="F10" s="3"/>
      <c r="G10" s="3"/>
      <c r="H10" s="3"/>
      <c r="I10" s="3"/>
      <c r="J10" s="3"/>
      <c r="L10"/>
    </row>
    <row r="11" spans="2:36" x14ac:dyDescent="0.45">
      <c r="B11" s="2" t="s">
        <v>56</v>
      </c>
      <c r="C11" s="7">
        <f>SUM(C12:C14)</f>
        <v>10024</v>
      </c>
      <c r="D11" s="7">
        <f t="shared" ref="D11:L11" si="17">SUM(D12:D14)</f>
        <v>10020</v>
      </c>
      <c r="E11" s="7">
        <f t="shared" si="17"/>
        <v>9540</v>
      </c>
      <c r="F11" s="7">
        <f t="shared" si="17"/>
        <v>10710</v>
      </c>
      <c r="G11" s="7">
        <f t="shared" si="17"/>
        <v>10150</v>
      </c>
      <c r="H11" s="7">
        <f t="shared" si="17"/>
        <v>10510</v>
      </c>
      <c r="I11" s="7">
        <f t="shared" si="17"/>
        <v>10380</v>
      </c>
      <c r="J11" s="7">
        <f t="shared" si="17"/>
        <v>10930</v>
      </c>
      <c r="K11" s="7">
        <f t="shared" si="17"/>
        <v>13300</v>
      </c>
      <c r="L11" s="7">
        <f t="shared" si="17"/>
        <v>9800</v>
      </c>
      <c r="V11" s="7">
        <f>SUM(V12:V14)</f>
        <v>40910</v>
      </c>
      <c r="W11" s="7">
        <f>SUM(W12:W14)</f>
        <v>41750</v>
      </c>
    </row>
    <row r="12" spans="2:36" x14ac:dyDescent="0.45">
      <c r="B12" t="s">
        <v>53</v>
      </c>
      <c r="C12" s="3">
        <v>7831</v>
      </c>
      <c r="D12" s="3">
        <v>7740</v>
      </c>
      <c r="E12" s="3">
        <v>6940</v>
      </c>
      <c r="F12" s="3">
        <v>7460</v>
      </c>
      <c r="G12" s="3">
        <v>7380</v>
      </c>
      <c r="H12" s="3">
        <v>7800</v>
      </c>
      <c r="I12" s="3">
        <v>7670</v>
      </c>
      <c r="J12" s="3">
        <v>8170</v>
      </c>
      <c r="K12" s="3">
        <v>9820</v>
      </c>
      <c r="L12" s="3">
        <f>'Revenue and costs build'!L19</f>
        <v>7150</v>
      </c>
      <c r="V12" s="3">
        <f t="shared" ref="V12:W14" si="18">SUM(E12:H12)</f>
        <v>29580</v>
      </c>
      <c r="W12" s="3">
        <f t="shared" si="18"/>
        <v>30310</v>
      </c>
    </row>
    <row r="13" spans="2:36" x14ac:dyDescent="0.45">
      <c r="B13" t="s">
        <v>54</v>
      </c>
      <c r="C13" s="3">
        <v>1166</v>
      </c>
      <c r="D13" s="3">
        <v>1180</v>
      </c>
      <c r="E13" s="3">
        <v>1430</v>
      </c>
      <c r="F13" s="3">
        <v>1910</v>
      </c>
      <c r="G13" s="3">
        <v>910</v>
      </c>
      <c r="H13" s="3">
        <v>780</v>
      </c>
      <c r="I13" s="3">
        <v>850</v>
      </c>
      <c r="J13" s="3">
        <v>730</v>
      </c>
      <c r="K13" s="3">
        <v>1060</v>
      </c>
      <c r="L13" s="3">
        <f>'Revenue and costs build'!L21</f>
        <v>460</v>
      </c>
      <c r="M13" s="3">
        <f>'Revenue and costs build'!M21</f>
        <v>552.5</v>
      </c>
      <c r="N13" s="3">
        <f>'Revenue and costs build'!N21</f>
        <v>584</v>
      </c>
      <c r="O13" s="3">
        <f>'Revenue and costs build'!O21</f>
        <v>1007</v>
      </c>
      <c r="P13" s="3">
        <f>'Revenue and costs build'!P21</f>
        <v>1012.0000000000001</v>
      </c>
      <c r="V13" s="3">
        <f t="shared" si="18"/>
        <v>5030</v>
      </c>
      <c r="W13" s="3">
        <f t="shared" si="18"/>
        <v>4450</v>
      </c>
      <c r="X13" s="3">
        <f>'Revenue and costs build'!W21</f>
        <v>3100</v>
      </c>
      <c r="Y13" s="3">
        <f>'Revenue and costs build'!X21</f>
        <v>3155.5</v>
      </c>
      <c r="Z13" s="3">
        <f>'Revenue and costs build'!Y21</f>
        <v>3281.7200000000003</v>
      </c>
      <c r="AA13" s="3">
        <f>'Revenue and costs build'!Z21</f>
        <v>3367.0447200000003</v>
      </c>
      <c r="AB13" s="3">
        <f>'Revenue and costs build'!AA21</f>
        <v>3407.4492566400004</v>
      </c>
      <c r="AC13" s="3">
        <f>'Revenue and costs build'!AB21</f>
        <v>3400.6343581267206</v>
      </c>
      <c r="AD13" s="3">
        <f>'Revenue and costs build'!AC21</f>
        <v>3346.224208396693</v>
      </c>
      <c r="AE13" s="3">
        <f>'Revenue and costs build'!AD21</f>
        <v>3245.8374821447924</v>
      </c>
      <c r="AF13" s="3">
        <f>'Revenue and costs build'!AE21</f>
        <v>3148.4623576804483</v>
      </c>
      <c r="AG13" s="3">
        <f>'Revenue and costs build'!AF21</f>
        <v>3054.0084869500347</v>
      </c>
      <c r="AH13" s="3">
        <f>'Revenue and costs build'!AG21</f>
        <v>2962.3882323415337</v>
      </c>
      <c r="AI13" s="3">
        <f>'Revenue and costs build'!AH21</f>
        <v>2873.5165853712874</v>
      </c>
      <c r="AJ13" s="3">
        <f>'Revenue and costs build'!AI21</f>
        <v>2787.3110878101488</v>
      </c>
    </row>
    <row r="14" spans="2:36" x14ac:dyDescent="0.45">
      <c r="B14" t="s">
        <v>14</v>
      </c>
      <c r="C14" s="3">
        <v>1027</v>
      </c>
      <c r="D14" s="3">
        <v>1100</v>
      </c>
      <c r="E14" s="3">
        <v>1170</v>
      </c>
      <c r="F14" s="3">
        <v>1340</v>
      </c>
      <c r="G14" s="3">
        <v>1860</v>
      </c>
      <c r="H14" s="3">
        <v>1930</v>
      </c>
      <c r="I14" s="3">
        <v>1860</v>
      </c>
      <c r="J14" s="3">
        <v>2030</v>
      </c>
      <c r="K14" s="3">
        <v>2420</v>
      </c>
      <c r="L14" s="3">
        <f>'Revenue and costs build'!L23</f>
        <v>2190</v>
      </c>
      <c r="V14" s="3">
        <f t="shared" si="18"/>
        <v>6300</v>
      </c>
      <c r="W14" s="3">
        <f t="shared" si="18"/>
        <v>6990</v>
      </c>
    </row>
    <row r="15" spans="2:36" x14ac:dyDescent="0.45">
      <c r="C15" s="3"/>
      <c r="D15" s="3"/>
      <c r="E15" s="3"/>
      <c r="F15" s="3"/>
      <c r="G15" s="3"/>
      <c r="H15" s="3"/>
      <c r="I15" s="3"/>
      <c r="J15" s="3"/>
      <c r="L15"/>
    </row>
    <row r="16" spans="2:36" s="2" customFormat="1" x14ac:dyDescent="0.45">
      <c r="B16" s="2" t="s">
        <v>57</v>
      </c>
      <c r="C16" s="7">
        <f>SUM(C17:C20)</f>
        <v>8465</v>
      </c>
      <c r="D16" s="7">
        <f t="shared" ref="D16:G16" si="19">SUM(D17:D20)</f>
        <v>9060</v>
      </c>
      <c r="E16" s="7">
        <f>SUM(E17:E20)</f>
        <v>10000</v>
      </c>
      <c r="F16" s="7">
        <f>SUM(F17:F20)</f>
        <v>10100</v>
      </c>
      <c r="G16" s="7">
        <f t="shared" si="19"/>
        <v>10179</v>
      </c>
      <c r="H16" s="7">
        <f t="shared" ref="H16:I16" si="20">SUM(H17:H20)</f>
        <v>10500</v>
      </c>
      <c r="I16" s="7">
        <f t="shared" si="20"/>
        <v>12210</v>
      </c>
      <c r="J16" s="7">
        <f>SUM(J17:J20)</f>
        <v>12720</v>
      </c>
      <c r="K16" s="7">
        <f>SUM(K17:K20)</f>
        <v>13010</v>
      </c>
      <c r="L16" s="7">
        <f>SUM(L17:L20)</f>
        <v>11860</v>
      </c>
      <c r="V16" s="7">
        <f>SUM(V17:V20)</f>
        <v>40779</v>
      </c>
      <c r="W16" s="7">
        <f>SUM(W17:W20)</f>
        <v>42989</v>
      </c>
    </row>
    <row r="17" spans="2:36" x14ac:dyDescent="0.45">
      <c r="B17" t="s">
        <v>55</v>
      </c>
      <c r="C17" s="3">
        <v>1665</v>
      </c>
      <c r="D17" s="3">
        <v>1310</v>
      </c>
      <c r="E17" s="3">
        <v>1750</v>
      </c>
      <c r="F17" s="3">
        <v>1370</v>
      </c>
      <c r="G17" s="3">
        <v>1360</v>
      </c>
      <c r="H17" s="3">
        <v>1270</v>
      </c>
      <c r="I17" s="3">
        <v>1810</v>
      </c>
      <c r="J17" s="3">
        <v>1800</v>
      </c>
      <c r="K17" s="3">
        <v>1690</v>
      </c>
      <c r="L17" s="3">
        <f>'Revenue and costs build'!L27</f>
        <v>830</v>
      </c>
      <c r="M17" s="3">
        <f>'Revenue and costs build'!M27</f>
        <v>2443.5</v>
      </c>
      <c r="N17" s="3">
        <f>'Revenue and costs build'!N27</f>
        <v>2364</v>
      </c>
      <c r="O17" s="3">
        <f>'Revenue and costs build'!O27</f>
        <v>2157.5666666666666</v>
      </c>
      <c r="P17" s="3">
        <f>'Revenue and costs build'!P27</f>
        <v>1029.2</v>
      </c>
      <c r="V17" s="3">
        <f t="shared" ref="V17:W20" si="21">SUM(E17:H17)</f>
        <v>5750</v>
      </c>
      <c r="W17" s="3">
        <f t="shared" si="21"/>
        <v>5810</v>
      </c>
      <c r="X17" s="3">
        <f>'Revenue and costs build'!W27</f>
        <v>6130</v>
      </c>
      <c r="Y17" s="3">
        <f>'Revenue and costs build'!X27</f>
        <v>7994.2666666666664</v>
      </c>
      <c r="Z17" s="3">
        <f>'Revenue and costs build'!Y27</f>
        <v>9193.4066666666658</v>
      </c>
      <c r="AA17" s="3">
        <f>'Revenue and costs build'!Z27</f>
        <v>10204.681399999998</v>
      </c>
      <c r="AB17" s="3">
        <f>'Revenue and costs build'!AA27</f>
        <v>10919.009097999999</v>
      </c>
      <c r="AC17" s="3">
        <f>'Revenue and costs build'!AB27</f>
        <v>11246.579370939999</v>
      </c>
      <c r="AD17" s="3">
        <f>'Revenue and costs build'!AC27</f>
        <v>11134.113577230599</v>
      </c>
      <c r="AE17" s="3">
        <f>'Revenue and costs build'!AD27</f>
        <v>10577.407898369069</v>
      </c>
      <c r="AF17" s="3">
        <f>'Revenue and costs build'!AE27</f>
        <v>10048.537503450614</v>
      </c>
      <c r="AG17" s="3">
        <f>'Revenue and costs build'!AF27</f>
        <v>9546.1106282780838</v>
      </c>
      <c r="AH17" s="3">
        <f>'Revenue and costs build'!AG27</f>
        <v>9068.8050968641801</v>
      </c>
      <c r="AI17" s="3">
        <f>'Revenue and costs build'!AH27</f>
        <v>8615.3648420209702</v>
      </c>
      <c r="AJ17" s="3">
        <f>'Revenue and costs build'!AI27</f>
        <v>8184.5965999199216</v>
      </c>
    </row>
    <row r="18" spans="2:36" x14ac:dyDescent="0.45">
      <c r="B18" t="s">
        <v>58</v>
      </c>
      <c r="C18" s="3">
        <v>4418</v>
      </c>
      <c r="D18" s="3">
        <v>5020</v>
      </c>
      <c r="E18" s="3">
        <v>5520</v>
      </c>
      <c r="F18" s="3">
        <v>5730</v>
      </c>
      <c r="G18" s="3">
        <v>5840</v>
      </c>
      <c r="H18" s="3">
        <v>6140</v>
      </c>
      <c r="I18" s="3">
        <v>7300</v>
      </c>
      <c r="J18" s="3">
        <v>8070</v>
      </c>
      <c r="K18" s="3">
        <v>8090</v>
      </c>
      <c r="L18" s="3">
        <f>'Revenue and costs build'!L29</f>
        <v>7790</v>
      </c>
      <c r="V18" s="3">
        <f t="shared" si="21"/>
        <v>23230</v>
      </c>
      <c r="W18" s="3">
        <f t="shared" si="21"/>
        <v>25010</v>
      </c>
    </row>
    <row r="19" spans="2:36" x14ac:dyDescent="0.45">
      <c r="B19" t="s">
        <v>59</v>
      </c>
      <c r="C19" s="3">
        <v>1301</v>
      </c>
      <c r="D19" s="3">
        <v>1510</v>
      </c>
      <c r="E19" s="3">
        <v>1620</v>
      </c>
      <c r="F19" s="3">
        <v>1730</v>
      </c>
      <c r="G19" s="3">
        <v>1710</v>
      </c>
      <c r="H19" s="3">
        <v>1880</v>
      </c>
      <c r="I19" s="3">
        <v>1550</v>
      </c>
      <c r="J19" s="3">
        <v>1550</v>
      </c>
      <c r="K19" s="3">
        <v>1700</v>
      </c>
      <c r="L19" s="3">
        <f>'Revenue and costs build'!L31</f>
        <v>1620</v>
      </c>
      <c r="V19" s="3">
        <f t="shared" si="21"/>
        <v>6940</v>
      </c>
      <c r="W19" s="3">
        <f t="shared" si="21"/>
        <v>6870</v>
      </c>
    </row>
    <row r="20" spans="2:36" x14ac:dyDescent="0.45">
      <c r="B20" t="s">
        <v>14</v>
      </c>
      <c r="C20" s="3">
        <v>1081</v>
      </c>
      <c r="D20" s="3">
        <v>1220</v>
      </c>
      <c r="E20" s="3">
        <v>1110</v>
      </c>
      <c r="F20" s="3">
        <v>1270</v>
      </c>
      <c r="G20" s="3">
        <v>1269</v>
      </c>
      <c r="H20" s="3">
        <v>1210</v>
      </c>
      <c r="I20" s="3">
        <v>1550</v>
      </c>
      <c r="J20" s="3">
        <v>1300</v>
      </c>
      <c r="K20" s="3">
        <v>1530</v>
      </c>
      <c r="L20" s="3">
        <f>'Revenue and costs build'!L33</f>
        <v>1620</v>
      </c>
      <c r="V20" s="3">
        <f t="shared" si="21"/>
        <v>4859</v>
      </c>
      <c r="W20" s="3">
        <f t="shared" si="21"/>
        <v>5299</v>
      </c>
    </row>
    <row r="21" spans="2:36" x14ac:dyDescent="0.45">
      <c r="C21" s="3"/>
      <c r="D21" s="3"/>
      <c r="E21" s="3"/>
      <c r="F21" s="3"/>
      <c r="G21" s="3"/>
      <c r="H21" s="3"/>
      <c r="I21" s="3"/>
      <c r="J21" s="3"/>
      <c r="L21"/>
    </row>
    <row r="22" spans="2:36" x14ac:dyDescent="0.45">
      <c r="B22" s="2" t="s">
        <v>60</v>
      </c>
      <c r="C22" s="3"/>
      <c r="D22" s="3"/>
      <c r="E22" s="3"/>
      <c r="F22" s="3"/>
      <c r="G22" s="3"/>
      <c r="H22" s="3"/>
      <c r="I22" s="3"/>
      <c r="J22" s="3"/>
      <c r="L22"/>
    </row>
    <row r="23" spans="2:36" x14ac:dyDescent="0.45">
      <c r="B23" t="s">
        <v>61</v>
      </c>
      <c r="C23" s="3">
        <v>2500000</v>
      </c>
      <c r="D23" s="3">
        <f>2.6*1000000</f>
        <v>2600000</v>
      </c>
      <c r="E23" s="3">
        <f>2.96*1000000</f>
        <v>2960000</v>
      </c>
      <c r="F23" s="3">
        <f>3.2*1000000</f>
        <v>3200000</v>
      </c>
      <c r="G23" s="3">
        <f>3.46*1000000</f>
        <v>3460000</v>
      </c>
      <c r="H23" s="3">
        <f>3.62*1000000</f>
        <v>3620000</v>
      </c>
      <c r="I23" s="3">
        <f>4.05*1000000</f>
        <v>4050000</v>
      </c>
      <c r="J23" s="3">
        <f>4.5*1000000</f>
        <v>4500000</v>
      </c>
      <c r="K23" s="3">
        <f t="shared" ref="K23" si="22">5.1*1000000</f>
        <v>5100000</v>
      </c>
      <c r="L23" s="3">
        <f>'Revenue and costs build'!L36</f>
        <v>4690000</v>
      </c>
      <c r="V23" s="3">
        <f t="shared" ref="V23:W25" si="23">SUM(E23:H23)</f>
        <v>13240000</v>
      </c>
      <c r="W23" s="3">
        <f t="shared" si="23"/>
        <v>14330000</v>
      </c>
    </row>
    <row r="24" spans="2:36" x14ac:dyDescent="0.45">
      <c r="B24" t="s">
        <v>62</v>
      </c>
      <c r="C24" s="3">
        <v>3477</v>
      </c>
      <c r="D24" s="3">
        <v>4142</v>
      </c>
      <c r="E24" s="3">
        <v>5120</v>
      </c>
      <c r="F24" s="3">
        <v>5752</v>
      </c>
      <c r="G24" s="3">
        <v>6280</v>
      </c>
      <c r="H24" s="3">
        <v>6850</v>
      </c>
      <c r="I24" s="3">
        <v>7960</v>
      </c>
      <c r="J24" s="3">
        <v>9120</v>
      </c>
      <c r="K24" s="3">
        <v>9990</v>
      </c>
      <c r="L24" s="3">
        <f>'Revenue and costs build'!L38</f>
        <v>9620</v>
      </c>
      <c r="V24" s="3">
        <f t="shared" si="23"/>
        <v>24002</v>
      </c>
      <c r="W24" s="3">
        <f t="shared" si="23"/>
        <v>26842</v>
      </c>
    </row>
    <row r="25" spans="2:36" x14ac:dyDescent="0.45">
      <c r="B25" t="s">
        <v>63</v>
      </c>
      <c r="C25" s="3">
        <v>4266</v>
      </c>
      <c r="D25" s="3">
        <v>5029</v>
      </c>
      <c r="E25" s="3">
        <v>6130</v>
      </c>
      <c r="F25" s="3">
        <v>6885</v>
      </c>
      <c r="G25" s="3">
        <v>7630</v>
      </c>
      <c r="H25" s="3">
        <v>8350</v>
      </c>
      <c r="I25" s="3">
        <v>9630</v>
      </c>
      <c r="J25" s="3">
        <v>10900</v>
      </c>
      <c r="K25" s="3">
        <v>11850</v>
      </c>
      <c r="L25" s="3">
        <f>'Revenue and costs build'!L40</f>
        <v>11290</v>
      </c>
      <c r="V25" s="3">
        <f t="shared" si="23"/>
        <v>28995</v>
      </c>
      <c r="W25" s="3">
        <f t="shared" si="23"/>
        <v>32495</v>
      </c>
    </row>
    <row r="26" spans="2:36" x14ac:dyDescent="0.45">
      <c r="B26" t="s">
        <v>64</v>
      </c>
      <c r="C26" s="3">
        <v>64.400000000000006</v>
      </c>
      <c r="D26" s="3">
        <v>70.900000000000006</v>
      </c>
      <c r="E26" s="3">
        <v>75</v>
      </c>
      <c r="F26" s="3">
        <v>79.7</v>
      </c>
      <c r="G26" s="3">
        <v>85</v>
      </c>
      <c r="H26" s="3">
        <v>90</v>
      </c>
      <c r="I26" s="3">
        <v>92</v>
      </c>
      <c r="J26" s="3">
        <v>95</v>
      </c>
      <c r="K26" s="3">
        <v>100</v>
      </c>
      <c r="L26" s="3">
        <f>'Revenue and costs build'!L42</f>
        <v>96</v>
      </c>
      <c r="V26" s="3">
        <f>AVERAGE(E26:H26)</f>
        <v>82.424999999999997</v>
      </c>
      <c r="W26" s="3">
        <f>AVERAGE(F26:I26)</f>
        <v>86.674999999999997</v>
      </c>
    </row>
    <row r="27" spans="2:36" x14ac:dyDescent="0.45">
      <c r="B27" t="s">
        <v>65</v>
      </c>
      <c r="C27" s="3">
        <v>24.9</v>
      </c>
      <c r="D27" s="3">
        <v>26.7</v>
      </c>
      <c r="E27" s="3">
        <v>28.3</v>
      </c>
      <c r="F27" s="3">
        <v>29.5</v>
      </c>
      <c r="G27" s="3">
        <v>31.4</v>
      </c>
      <c r="H27" s="3">
        <v>33.5</v>
      </c>
      <c r="I27" s="3">
        <v>35.6</v>
      </c>
      <c r="J27" s="3">
        <v>37.5</v>
      </c>
      <c r="K27" s="3">
        <v>39.299999999999997</v>
      </c>
      <c r="L27" s="3">
        <f>'Revenue and costs build'!L44</f>
        <v>40.6</v>
      </c>
      <c r="V27" s="3">
        <f t="shared" ref="V27:W29" si="24">H27</f>
        <v>33.5</v>
      </c>
      <c r="W27" s="3">
        <f t="shared" si="24"/>
        <v>35.6</v>
      </c>
    </row>
    <row r="28" spans="2:36" x14ac:dyDescent="0.45">
      <c r="B28" t="s">
        <v>66</v>
      </c>
      <c r="C28" s="3">
        <v>18961</v>
      </c>
      <c r="D28" s="3">
        <v>22249</v>
      </c>
      <c r="E28" s="3">
        <v>19781</v>
      </c>
      <c r="F28" s="3">
        <v>24703</v>
      </c>
      <c r="G28" s="3">
        <v>25375</v>
      </c>
      <c r="H28" s="3">
        <v>28479</v>
      </c>
      <c r="I28" s="3">
        <v>30148</v>
      </c>
      <c r="J28" s="3">
        <v>35349</v>
      </c>
      <c r="K28" s="3">
        <v>40028</v>
      </c>
      <c r="L28" s="3">
        <f>'Revenue and costs build'!L46</f>
        <v>36521</v>
      </c>
      <c r="V28" s="3">
        <f t="shared" si="24"/>
        <v>28479</v>
      </c>
      <c r="W28" s="3">
        <f t="shared" si="24"/>
        <v>30148</v>
      </c>
    </row>
    <row r="29" spans="2:36" x14ac:dyDescent="0.45">
      <c r="B29" t="s">
        <v>67</v>
      </c>
      <c r="C29" s="3"/>
      <c r="D29" s="3"/>
      <c r="E29" s="3">
        <v>1610</v>
      </c>
      <c r="F29" s="3">
        <v>1720</v>
      </c>
      <c r="G29" s="3">
        <v>1780</v>
      </c>
      <c r="H29" s="3">
        <v>1860</v>
      </c>
      <c r="I29" s="3">
        <v>2130</v>
      </c>
      <c r="J29" s="3">
        <v>2470</v>
      </c>
      <c r="K29" s="3">
        <v>2670</v>
      </c>
      <c r="L29" s="3">
        <f>'Revenue and costs build'!L48</f>
        <v>2550</v>
      </c>
      <c r="V29" s="3">
        <f t="shared" si="24"/>
        <v>1860</v>
      </c>
      <c r="W29" s="3">
        <f t="shared" si="24"/>
        <v>2130</v>
      </c>
    </row>
    <row r="30" spans="2:36" x14ac:dyDescent="0.45">
      <c r="C30" s="3"/>
      <c r="D30" s="3"/>
      <c r="E30" s="3"/>
      <c r="F30" s="3"/>
      <c r="G30" s="3"/>
      <c r="H30" s="3"/>
      <c r="I30" s="3"/>
      <c r="J30" s="3"/>
      <c r="L30"/>
      <c r="V30" s="3"/>
      <c r="W30" s="3"/>
    </row>
    <row r="31" spans="2:36" x14ac:dyDescent="0.45">
      <c r="B31" s="2" t="s">
        <v>18</v>
      </c>
      <c r="C31" s="3"/>
      <c r="D31" s="3"/>
      <c r="E31" s="3"/>
      <c r="F31" s="3"/>
      <c r="G31" s="3"/>
      <c r="H31" s="3"/>
      <c r="I31" s="3"/>
      <c r="J31" s="3"/>
      <c r="L31"/>
      <c r="U31" s="7">
        <f>SUM(U32:U39)</f>
        <v>24319</v>
      </c>
      <c r="V31" s="7">
        <f>SUM(V32:V39)</f>
        <v>37784.235530312755</v>
      </c>
      <c r="W31" s="34">
        <f>W51</f>
        <v>45892</v>
      </c>
      <c r="X31" s="7">
        <f>X32+X34+X35+X37+X38+X39</f>
        <v>42777.3</v>
      </c>
      <c r="Y31" s="7">
        <f t="shared" ref="Y31:AJ31" si="25">Y32+Y34+Y35+Y37+Y38+Y39</f>
        <v>47434.014599999995</v>
      </c>
      <c r="Z31" s="7">
        <f t="shared" si="25"/>
        <v>51153.504550800004</v>
      </c>
      <c r="AA31" s="7">
        <f t="shared" si="25"/>
        <v>53588.369610981608</v>
      </c>
      <c r="AB31" s="7">
        <f t="shared" si="25"/>
        <v>54474.287207761234</v>
      </c>
      <c r="AC31" s="7">
        <f t="shared" si="25"/>
        <v>54558.28346709082</v>
      </c>
      <c r="AD31" s="7">
        <f t="shared" si="25"/>
        <v>54692.341125848267</v>
      </c>
      <c r="AE31" s="7">
        <f t="shared" si="25"/>
        <v>54875.042338310086</v>
      </c>
      <c r="AF31" s="7">
        <f t="shared" si="25"/>
        <v>55105.061855523905</v>
      </c>
      <c r="AG31" s="7">
        <f t="shared" si="25"/>
        <v>55381.162829559617</v>
      </c>
      <c r="AH31" s="7">
        <f t="shared" si="25"/>
        <v>55702.192836229777</v>
      </c>
      <c r="AI31" s="7">
        <f t="shared" si="25"/>
        <v>56067.080105529385</v>
      </c>
      <c r="AJ31" s="7">
        <f t="shared" si="25"/>
        <v>56474.829949586245</v>
      </c>
    </row>
    <row r="32" spans="2:36" x14ac:dyDescent="0.45">
      <c r="B32" t="s">
        <v>71</v>
      </c>
      <c r="C32" s="3"/>
      <c r="D32" s="3"/>
      <c r="E32" s="3"/>
      <c r="F32" s="3"/>
      <c r="G32" s="3"/>
      <c r="H32" s="3"/>
      <c r="I32" s="3"/>
      <c r="J32" s="3"/>
      <c r="L32"/>
      <c r="U32" s="3">
        <v>14848</v>
      </c>
      <c r="V32" s="3">
        <v>21332</v>
      </c>
      <c r="W32" s="35"/>
      <c r="X32" s="3">
        <f>V32*(1+X33)</f>
        <v>25598.399999999998</v>
      </c>
      <c r="Y32" s="3">
        <f t="shared" ref="Y32:AJ32" si="26">X32*(1+Y33)</f>
        <v>29796.537599999996</v>
      </c>
      <c r="Z32" s="3">
        <f t="shared" si="26"/>
        <v>33610.494412799999</v>
      </c>
      <c r="AA32" s="3">
        <f t="shared" si="26"/>
        <v>36702.659898777601</v>
      </c>
      <c r="AB32" s="3">
        <f t="shared" si="26"/>
        <v>38758.008853109146</v>
      </c>
      <c r="AC32" s="3">
        <f t="shared" si="26"/>
        <v>39533.169030171332</v>
      </c>
      <c r="AD32" s="3">
        <f t="shared" si="26"/>
        <v>40323.832410774761</v>
      </c>
      <c r="AE32" s="3">
        <f t="shared" si="26"/>
        <v>41130.309058990257</v>
      </c>
      <c r="AF32" s="3">
        <f t="shared" si="26"/>
        <v>41952.915240170063</v>
      </c>
      <c r="AG32" s="3">
        <f t="shared" si="26"/>
        <v>42791.973544973465</v>
      </c>
      <c r="AH32" s="3">
        <f t="shared" si="26"/>
        <v>43647.813015872933</v>
      </c>
      <c r="AI32" s="3">
        <f t="shared" si="26"/>
        <v>44520.769276190389</v>
      </c>
      <c r="AJ32" s="3">
        <f t="shared" si="26"/>
        <v>45411.1846617142</v>
      </c>
    </row>
    <row r="33" spans="2:36" x14ac:dyDescent="0.45">
      <c r="B33" s="8" t="s">
        <v>118</v>
      </c>
      <c r="C33" s="3"/>
      <c r="D33" s="3"/>
      <c r="E33" s="3"/>
      <c r="F33" s="3"/>
      <c r="G33" s="3"/>
      <c r="H33" s="3"/>
      <c r="I33" s="3"/>
      <c r="J33" s="3"/>
      <c r="L33"/>
      <c r="U33" s="3"/>
      <c r="V33" s="10">
        <f>V32/U32-1</f>
        <v>0.43669181034482762</v>
      </c>
      <c r="W33" s="36"/>
      <c r="X33" s="21">
        <v>0.2</v>
      </c>
      <c r="Y33" s="28">
        <f>X33+($AC$33-$X$33)/($AC$1-$X$1)</f>
        <v>0.16400000000000001</v>
      </c>
      <c r="Z33" s="28">
        <f t="shared" ref="Z33:AB33" si="27">Y33+($AC$33-$X$33)/($AC$1-$X$1)</f>
        <v>0.128</v>
      </c>
      <c r="AA33" s="28">
        <f t="shared" si="27"/>
        <v>9.1999999999999998E-2</v>
      </c>
      <c r="AB33" s="28">
        <f t="shared" si="27"/>
        <v>5.5999999999999994E-2</v>
      </c>
      <c r="AC33" s="21">
        <v>0.02</v>
      </c>
      <c r="AD33" s="28">
        <f>AC33</f>
        <v>0.02</v>
      </c>
      <c r="AE33" s="28">
        <f t="shared" ref="AE33:AJ33" si="28">AD33</f>
        <v>0.02</v>
      </c>
      <c r="AF33" s="28">
        <f t="shared" si="28"/>
        <v>0.02</v>
      </c>
      <c r="AG33" s="28">
        <f t="shared" si="28"/>
        <v>0.02</v>
      </c>
      <c r="AH33" s="28">
        <f t="shared" si="28"/>
        <v>0.02</v>
      </c>
      <c r="AI33" s="28">
        <f t="shared" si="28"/>
        <v>0.02</v>
      </c>
      <c r="AJ33" s="28">
        <f t="shared" si="28"/>
        <v>0.02</v>
      </c>
    </row>
    <row r="34" spans="2:36" x14ac:dyDescent="0.45">
      <c r="B34" t="s">
        <v>72</v>
      </c>
      <c r="C34" s="3"/>
      <c r="D34" s="3"/>
      <c r="E34" s="3"/>
      <c r="F34" s="3"/>
      <c r="G34" s="3"/>
      <c r="H34" s="3"/>
      <c r="I34" s="3"/>
      <c r="J34" s="3"/>
      <c r="L34"/>
      <c r="U34" s="3">
        <v>499</v>
      </c>
      <c r="V34" s="3">
        <v>731</v>
      </c>
      <c r="W34" s="35"/>
      <c r="X34" s="3">
        <f>V34</f>
        <v>731</v>
      </c>
      <c r="Y34" s="3">
        <f t="shared" ref="Y34:AJ34" si="29">X34</f>
        <v>731</v>
      </c>
      <c r="Z34" s="3">
        <f t="shared" si="29"/>
        <v>731</v>
      </c>
      <c r="AA34" s="3">
        <f t="shared" si="29"/>
        <v>731</v>
      </c>
      <c r="AB34" s="3">
        <f t="shared" si="29"/>
        <v>731</v>
      </c>
      <c r="AC34" s="3">
        <f t="shared" si="29"/>
        <v>731</v>
      </c>
      <c r="AD34" s="3">
        <f t="shared" si="29"/>
        <v>731</v>
      </c>
      <c r="AE34" s="3">
        <f t="shared" si="29"/>
        <v>731</v>
      </c>
      <c r="AF34" s="3">
        <f t="shared" si="29"/>
        <v>731</v>
      </c>
      <c r="AG34" s="3">
        <f t="shared" si="29"/>
        <v>731</v>
      </c>
      <c r="AH34" s="3">
        <f t="shared" si="29"/>
        <v>731</v>
      </c>
      <c r="AI34" s="3">
        <f t="shared" si="29"/>
        <v>731</v>
      </c>
      <c r="AJ34" s="3">
        <f t="shared" si="29"/>
        <v>731</v>
      </c>
    </row>
    <row r="35" spans="2:36" x14ac:dyDescent="0.45">
      <c r="B35" t="s">
        <v>76</v>
      </c>
      <c r="C35" s="3"/>
      <c r="D35" s="3"/>
      <c r="E35" s="3"/>
      <c r="F35" s="3"/>
      <c r="G35" s="3"/>
      <c r="H35" s="3"/>
      <c r="I35" s="3"/>
      <c r="J35" s="3"/>
      <c r="L35"/>
      <c r="U35" s="3">
        <v>8093</v>
      </c>
      <c r="V35" s="3">
        <v>14558</v>
      </c>
      <c r="W35" s="35">
        <f>W31-SUM('Revenue and costs build'!I29:L29)</f>
        <v>14642</v>
      </c>
      <c r="X35" s="3">
        <f>V35*(1+X36)</f>
        <v>15285.900000000001</v>
      </c>
      <c r="Y35" s="3">
        <f t="shared" ref="Y35" si="30">X35*(1+Y36)</f>
        <v>15744.477000000003</v>
      </c>
      <c r="Z35" s="3">
        <f t="shared" ref="Z35" si="31">Y35*(1+Z36)</f>
        <v>15650.010138000003</v>
      </c>
      <c r="AA35" s="3">
        <f t="shared" ref="AA35" si="32">Z35*(1+AA36)</f>
        <v>14992.709712204003</v>
      </c>
      <c r="AB35" s="3">
        <f t="shared" ref="AB35" si="33">AA35*(1+AB36)</f>
        <v>13823.27835465209</v>
      </c>
      <c r="AC35" s="3">
        <f t="shared" ref="AC35" si="34">AB35*(1+AC36)</f>
        <v>13132.114436919484</v>
      </c>
      <c r="AD35" s="3">
        <f t="shared" ref="AD35" si="35">AC35*(1+AD36)</f>
        <v>12475.508715073509</v>
      </c>
      <c r="AE35" s="3">
        <f t="shared" ref="AE35" si="36">AD35*(1+AE36)</f>
        <v>11851.733279319833</v>
      </c>
      <c r="AF35" s="3">
        <f t="shared" ref="AF35" si="37">AE35*(1+AF36)</f>
        <v>11259.14661535384</v>
      </c>
      <c r="AG35" s="3">
        <f t="shared" ref="AG35" si="38">AF35*(1+AG36)</f>
        <v>10696.189284586148</v>
      </c>
      <c r="AH35" s="3">
        <f t="shared" ref="AH35" si="39">AG35*(1+AH36)</f>
        <v>10161.37982035684</v>
      </c>
      <c r="AI35" s="3">
        <f t="shared" ref="AI35" si="40">AH35*(1+AI36)</f>
        <v>9653.3108293389978</v>
      </c>
      <c r="AJ35" s="3">
        <f t="shared" ref="AJ35" si="41">AI35*(1+AJ36)</f>
        <v>9170.6452878720484</v>
      </c>
    </row>
    <row r="36" spans="2:36" x14ac:dyDescent="0.45">
      <c r="B36" s="8" t="s">
        <v>118</v>
      </c>
      <c r="C36" s="3"/>
      <c r="D36" s="3"/>
      <c r="E36" s="3"/>
      <c r="F36" s="3"/>
      <c r="G36" s="3"/>
      <c r="H36" s="3"/>
      <c r="I36" s="3"/>
      <c r="J36" s="3"/>
      <c r="L36"/>
      <c r="U36" s="3"/>
      <c r="V36" s="10">
        <f>V35/U35-1</f>
        <v>0.79883850240948973</v>
      </c>
      <c r="W36" s="36">
        <f>W35/V35-1</f>
        <v>5.770023354856546E-3</v>
      </c>
      <c r="X36" s="21">
        <v>0.05</v>
      </c>
      <c r="Y36" s="28">
        <f>X36+($AC$36-$X$36)/($AC$1-$X$1)</f>
        <v>3.0000000000000002E-2</v>
      </c>
      <c r="Z36" s="28">
        <f t="shared" ref="Z36:AB36" si="42">Y36+($AC$33-$X$33)/($AC$1-$X$1)</f>
        <v>-6.0000000000000019E-3</v>
      </c>
      <c r="AA36" s="28">
        <f t="shared" si="42"/>
        <v>-4.200000000000001E-2</v>
      </c>
      <c r="AB36" s="28">
        <f t="shared" si="42"/>
        <v>-7.8000000000000014E-2</v>
      </c>
      <c r="AC36" s="21">
        <v>-0.05</v>
      </c>
      <c r="AD36" s="28">
        <f>AC36</f>
        <v>-0.05</v>
      </c>
      <c r="AE36" s="28">
        <f t="shared" ref="AE36:AJ36" si="43">AD36</f>
        <v>-0.05</v>
      </c>
      <c r="AF36" s="28">
        <f t="shared" si="43"/>
        <v>-0.05</v>
      </c>
      <c r="AG36" s="28">
        <f t="shared" si="43"/>
        <v>-0.05</v>
      </c>
      <c r="AH36" s="28">
        <f t="shared" si="43"/>
        <v>-0.05</v>
      </c>
      <c r="AI36" s="28">
        <f t="shared" si="43"/>
        <v>-0.05</v>
      </c>
      <c r="AJ36" s="28">
        <f t="shared" si="43"/>
        <v>-0.05</v>
      </c>
    </row>
    <row r="37" spans="2:36" x14ac:dyDescent="0.45">
      <c r="B37" t="s">
        <v>75</v>
      </c>
      <c r="C37" s="3"/>
      <c r="D37" s="3"/>
      <c r="E37" s="3"/>
      <c r="F37" s="3"/>
      <c r="G37" s="3"/>
      <c r="H37" s="3"/>
      <c r="I37" s="3"/>
      <c r="J37" s="3"/>
      <c r="L37"/>
      <c r="U37" s="3">
        <v>560</v>
      </c>
      <c r="V37" s="3">
        <v>657</v>
      </c>
      <c r="W37" s="35"/>
      <c r="X37" s="3">
        <f>V37</f>
        <v>657</v>
      </c>
      <c r="Y37" s="3">
        <f t="shared" ref="Y37:AJ37" si="44">X37</f>
        <v>657</v>
      </c>
      <c r="Z37" s="3">
        <f t="shared" si="44"/>
        <v>657</v>
      </c>
      <c r="AA37" s="3">
        <f t="shared" si="44"/>
        <v>657</v>
      </c>
      <c r="AB37" s="3">
        <f t="shared" si="44"/>
        <v>657</v>
      </c>
      <c r="AC37" s="3">
        <f t="shared" si="44"/>
        <v>657</v>
      </c>
      <c r="AD37" s="3">
        <f t="shared" si="44"/>
        <v>657</v>
      </c>
      <c r="AE37" s="3">
        <f t="shared" si="44"/>
        <v>657</v>
      </c>
      <c r="AF37" s="3">
        <f t="shared" si="44"/>
        <v>657</v>
      </c>
      <c r="AG37" s="3">
        <f t="shared" si="44"/>
        <v>657</v>
      </c>
      <c r="AH37" s="3">
        <f t="shared" si="44"/>
        <v>657</v>
      </c>
      <c r="AI37" s="3">
        <f t="shared" si="44"/>
        <v>657</v>
      </c>
      <c r="AJ37" s="3">
        <f t="shared" si="44"/>
        <v>657</v>
      </c>
    </row>
    <row r="38" spans="2:36" x14ac:dyDescent="0.45">
      <c r="B38" t="s">
        <v>73</v>
      </c>
      <c r="C38" s="3"/>
      <c r="D38" s="3"/>
      <c r="E38" s="3"/>
      <c r="F38" s="3"/>
      <c r="G38" s="3"/>
      <c r="H38" s="3"/>
      <c r="I38" s="3"/>
      <c r="J38" s="3"/>
      <c r="L38"/>
      <c r="U38" s="3">
        <v>146</v>
      </c>
      <c r="V38" s="3">
        <v>216</v>
      </c>
      <c r="W38" s="35"/>
      <c r="X38" s="3">
        <f>V38</f>
        <v>216</v>
      </c>
      <c r="Y38" s="3">
        <f t="shared" ref="Y38:AJ38" si="45">X38</f>
        <v>216</v>
      </c>
      <c r="Z38" s="3">
        <f t="shared" si="45"/>
        <v>216</v>
      </c>
      <c r="AA38" s="3">
        <f t="shared" si="45"/>
        <v>216</v>
      </c>
      <c r="AB38" s="3">
        <f t="shared" si="45"/>
        <v>216</v>
      </c>
      <c r="AC38" s="3">
        <f t="shared" si="45"/>
        <v>216</v>
      </c>
      <c r="AD38" s="3">
        <f t="shared" si="45"/>
        <v>216</v>
      </c>
      <c r="AE38" s="3">
        <f t="shared" si="45"/>
        <v>216</v>
      </c>
      <c r="AF38" s="3">
        <f t="shared" si="45"/>
        <v>216</v>
      </c>
      <c r="AG38" s="3">
        <f t="shared" si="45"/>
        <v>216</v>
      </c>
      <c r="AH38" s="3">
        <f t="shared" si="45"/>
        <v>216</v>
      </c>
      <c r="AI38" s="3">
        <f t="shared" si="45"/>
        <v>216</v>
      </c>
      <c r="AJ38" s="3">
        <f t="shared" si="45"/>
        <v>216</v>
      </c>
    </row>
    <row r="39" spans="2:36" x14ac:dyDescent="0.45">
      <c r="B39" t="s">
        <v>74</v>
      </c>
      <c r="C39" s="3"/>
      <c r="D39" s="3"/>
      <c r="E39" s="3"/>
      <c r="F39" s="3"/>
      <c r="G39" s="3"/>
      <c r="H39" s="3"/>
      <c r="I39" s="3"/>
      <c r="J39" s="3"/>
      <c r="L39"/>
      <c r="U39" s="3">
        <v>173</v>
      </c>
      <c r="V39" s="3">
        <v>289</v>
      </c>
      <c r="W39" s="35"/>
      <c r="X39" s="3">
        <f>V39</f>
        <v>289</v>
      </c>
      <c r="Y39" s="3">
        <f t="shared" ref="Y39:AJ39" si="46">X39</f>
        <v>289</v>
      </c>
      <c r="Z39" s="3">
        <f t="shared" si="46"/>
        <v>289</v>
      </c>
      <c r="AA39" s="3">
        <f t="shared" si="46"/>
        <v>289</v>
      </c>
      <c r="AB39" s="3">
        <f t="shared" si="46"/>
        <v>289</v>
      </c>
      <c r="AC39" s="3">
        <f t="shared" si="46"/>
        <v>289</v>
      </c>
      <c r="AD39" s="3">
        <f t="shared" si="46"/>
        <v>289</v>
      </c>
      <c r="AE39" s="3">
        <f t="shared" si="46"/>
        <v>289</v>
      </c>
      <c r="AF39" s="3">
        <f t="shared" si="46"/>
        <v>289</v>
      </c>
      <c r="AG39" s="3">
        <f t="shared" si="46"/>
        <v>289</v>
      </c>
      <c r="AH39" s="3">
        <f t="shared" si="46"/>
        <v>289</v>
      </c>
      <c r="AI39" s="3">
        <f t="shared" si="46"/>
        <v>289</v>
      </c>
      <c r="AJ39" s="3">
        <f t="shared" si="46"/>
        <v>289</v>
      </c>
    </row>
    <row r="40" spans="2:36" x14ac:dyDescent="0.45">
      <c r="C40" s="3"/>
      <c r="D40" s="3"/>
      <c r="E40" s="3"/>
      <c r="F40" s="3"/>
      <c r="G40" s="3"/>
      <c r="H40" s="3"/>
      <c r="I40" s="3"/>
      <c r="J40" s="3"/>
      <c r="L40"/>
      <c r="V40" s="3"/>
      <c r="W40" s="3"/>
    </row>
    <row r="41" spans="2:36" x14ac:dyDescent="0.45">
      <c r="K41"/>
      <c r="L41"/>
    </row>
    <row r="42" spans="2:36" x14ac:dyDescent="0.45">
      <c r="B42" s="2" t="s">
        <v>11</v>
      </c>
      <c r="C42" s="2"/>
      <c r="D42" s="2"/>
      <c r="E42" s="2"/>
      <c r="F42" s="2"/>
      <c r="K42"/>
      <c r="L42"/>
    </row>
    <row r="43" spans="2:36" x14ac:dyDescent="0.45">
      <c r="B43" t="s">
        <v>15</v>
      </c>
      <c r="C43" s="3">
        <v>14561</v>
      </c>
      <c r="D43" s="3">
        <v>15409</v>
      </c>
      <c r="E43" s="3">
        <v>16796</v>
      </c>
      <c r="F43" s="3">
        <v>19140</v>
      </c>
      <c r="G43" s="3">
        <v>20622</v>
      </c>
      <c r="H43" s="3">
        <v>23345</v>
      </c>
      <c r="I43" s="3">
        <v>23416</v>
      </c>
      <c r="J43" s="3">
        <v>25186</v>
      </c>
      <c r="K43" s="3">
        <v>28505</v>
      </c>
      <c r="L43" s="3">
        <v>22671</v>
      </c>
      <c r="M43" s="3">
        <f>M3</f>
        <v>24978.408846250011</v>
      </c>
      <c r="N43" s="3">
        <f>N3</f>
        <v>27325.596789844061</v>
      </c>
      <c r="O43" s="3">
        <f>O3</f>
        <v>31965.457116763871</v>
      </c>
      <c r="P43" s="3">
        <f>P3</f>
        <v>26805.99286228307</v>
      </c>
      <c r="T43" s="3">
        <v>28024</v>
      </c>
      <c r="U43" s="3">
        <f t="shared" ref="U43:AJ43" si="47">SUM(U4:U9)</f>
        <v>49742</v>
      </c>
      <c r="V43" s="3">
        <f t="shared" si="47"/>
        <v>79903</v>
      </c>
      <c r="W43" s="3">
        <f t="shared" si="47"/>
        <v>83103</v>
      </c>
      <c r="X43" s="3">
        <f t="shared" si="47"/>
        <v>99800</v>
      </c>
      <c r="Y43" s="3">
        <f t="shared" si="47"/>
        <v>111075.45561514101</v>
      </c>
      <c r="Z43" s="3">
        <f t="shared" si="47"/>
        <v>127756.43000000001</v>
      </c>
      <c r="AA43" s="3">
        <f t="shared" si="47"/>
        <v>149830.49946634614</v>
      </c>
      <c r="AB43" s="3">
        <f t="shared" si="47"/>
        <v>174016.81351960188</v>
      </c>
      <c r="AC43" s="3">
        <f t="shared" si="47"/>
        <v>196308.83107573239</v>
      </c>
      <c r="AD43" s="3">
        <f t="shared" si="47"/>
        <v>212893.67245500919</v>
      </c>
      <c r="AE43" s="3">
        <f t="shared" si="47"/>
        <v>222383.1983223953</v>
      </c>
      <c r="AF43" s="3">
        <f t="shared" si="47"/>
        <v>238791.91530075099</v>
      </c>
      <c r="AG43" s="3">
        <f t="shared" si="47"/>
        <v>257946.2902135904</v>
      </c>
      <c r="AH43" s="3">
        <f t="shared" si="47"/>
        <v>280349.78424904036</v>
      </c>
      <c r="AI43" s="3">
        <f t="shared" si="47"/>
        <v>306599.99222965783</v>
      </c>
      <c r="AJ43" s="3">
        <f t="shared" si="47"/>
        <v>337406.48661781824</v>
      </c>
    </row>
    <row r="44" spans="2:36" x14ac:dyDescent="0.45">
      <c r="B44" t="s">
        <v>14</v>
      </c>
      <c r="C44" s="3">
        <v>773</v>
      </c>
      <c r="D44" s="3">
        <v>1075</v>
      </c>
      <c r="E44" s="3">
        <v>1020</v>
      </c>
      <c r="F44" s="3">
        <v>996</v>
      </c>
      <c r="G44" s="3">
        <v>780</v>
      </c>
      <c r="H44" s="3">
        <v>1301</v>
      </c>
      <c r="I44" s="3">
        <v>1226</v>
      </c>
      <c r="J44" s="3">
        <v>1439</v>
      </c>
      <c r="K44" s="3">
        <v>1486</v>
      </c>
      <c r="L44">
        <v>1317</v>
      </c>
      <c r="M44">
        <v>0</v>
      </c>
      <c r="N44">
        <f>M44</f>
        <v>0</v>
      </c>
      <c r="O44">
        <f t="shared" ref="O44:P44" si="48">N44</f>
        <v>0</v>
      </c>
      <c r="P44">
        <f t="shared" si="48"/>
        <v>0</v>
      </c>
      <c r="T44" s="3">
        <v>3844</v>
      </c>
      <c r="U44" s="3">
        <v>2901</v>
      </c>
      <c r="V44" s="3">
        <f>SUM(E44:H44)</f>
        <v>4097</v>
      </c>
      <c r="W44" s="3">
        <f>SUM(I44:L44)</f>
        <v>5468</v>
      </c>
      <c r="X44" s="3">
        <f>SUM(I44:L44)</f>
        <v>5468</v>
      </c>
      <c r="Y44" s="3">
        <f t="shared" ref="Y44:AJ44" si="49">X72*ROIC</f>
        <v>213.61</v>
      </c>
      <c r="Z44" s="3">
        <f t="shared" si="49"/>
        <v>206.67179383290264</v>
      </c>
      <c r="AA44" s="3">
        <f t="shared" si="49"/>
        <v>235.5800615787652</v>
      </c>
      <c r="AB44" s="3">
        <f t="shared" si="49"/>
        <v>331.1082494079609</v>
      </c>
      <c r="AC44" s="3">
        <f t="shared" si="49"/>
        <v>435.9783937472543</v>
      </c>
      <c r="AD44" s="3">
        <f t="shared" si="49"/>
        <v>312.28802319794278</v>
      </c>
      <c r="AE44" s="3">
        <f t="shared" si="49"/>
        <v>381.6702156550046</v>
      </c>
      <c r="AF44" s="3">
        <f t="shared" si="49"/>
        <v>420.00986716787276</v>
      </c>
      <c r="AG44" s="3">
        <f t="shared" si="49"/>
        <v>485.88980002610583</v>
      </c>
      <c r="AH44" s="3">
        <f t="shared" si="49"/>
        <v>559.41848793853467</v>
      </c>
      <c r="AI44" s="3">
        <f t="shared" si="49"/>
        <v>641.80017022958361</v>
      </c>
      <c r="AJ44" s="3">
        <f t="shared" si="49"/>
        <v>948.10991011716658</v>
      </c>
    </row>
    <row r="45" spans="2:36" x14ac:dyDescent="0.45">
      <c r="B45" s="2" t="s">
        <v>13</v>
      </c>
      <c r="C45" s="7">
        <f t="shared" ref="C45:K45" si="50">SUM(C43:C44)</f>
        <v>15334</v>
      </c>
      <c r="D45" s="7">
        <f t="shared" si="50"/>
        <v>16484</v>
      </c>
      <c r="E45" s="7">
        <f t="shared" si="50"/>
        <v>17816</v>
      </c>
      <c r="F45" s="7">
        <f t="shared" si="50"/>
        <v>20136</v>
      </c>
      <c r="G45" s="7">
        <f t="shared" si="50"/>
        <v>21402</v>
      </c>
      <c r="H45" s="7">
        <f t="shared" si="50"/>
        <v>24646</v>
      </c>
      <c r="I45" s="7">
        <f t="shared" si="50"/>
        <v>24642</v>
      </c>
      <c r="J45" s="7">
        <f t="shared" si="50"/>
        <v>26625</v>
      </c>
      <c r="K45" s="7">
        <f t="shared" si="50"/>
        <v>29991</v>
      </c>
      <c r="L45" s="7">
        <f>L43+$L$44</f>
        <v>23988</v>
      </c>
      <c r="M45" s="7">
        <f t="shared" ref="M45:P45" si="51">M43+$L$44</f>
        <v>26295.408846250011</v>
      </c>
      <c r="N45" s="7">
        <f t="shared" si="51"/>
        <v>28642.596789844061</v>
      </c>
      <c r="O45" s="7">
        <f t="shared" si="51"/>
        <v>33282.457116763871</v>
      </c>
      <c r="P45" s="7">
        <f t="shared" si="51"/>
        <v>28122.99286228307</v>
      </c>
      <c r="T45" s="7">
        <f t="shared" ref="T45:AA45" si="52">T43+T44</f>
        <v>31868</v>
      </c>
      <c r="U45" s="7">
        <f t="shared" si="52"/>
        <v>52643</v>
      </c>
      <c r="V45" s="7">
        <f t="shared" si="52"/>
        <v>84000</v>
      </c>
      <c r="W45" s="7">
        <f t="shared" si="52"/>
        <v>88571</v>
      </c>
      <c r="X45" s="7">
        <f t="shared" si="52"/>
        <v>105268</v>
      </c>
      <c r="Y45" s="7">
        <f t="shared" si="52"/>
        <v>111289.06561514101</v>
      </c>
      <c r="Z45" s="7">
        <f t="shared" si="52"/>
        <v>127963.10179383292</v>
      </c>
      <c r="AA45" s="7">
        <f t="shared" si="52"/>
        <v>150066.07952792491</v>
      </c>
      <c r="AB45" s="7">
        <f t="shared" ref="AB45:AJ45" si="53">AB43+AB44</f>
        <v>174347.92176900984</v>
      </c>
      <c r="AC45" s="7">
        <f t="shared" si="53"/>
        <v>196744.80946947966</v>
      </c>
      <c r="AD45" s="7">
        <f t="shared" si="53"/>
        <v>213205.96047820713</v>
      </c>
      <c r="AE45" s="7">
        <f t="shared" si="53"/>
        <v>222764.8685380503</v>
      </c>
      <c r="AF45" s="7">
        <f t="shared" si="53"/>
        <v>239211.92516791887</v>
      </c>
      <c r="AG45" s="7">
        <f t="shared" si="53"/>
        <v>258432.18001361651</v>
      </c>
      <c r="AH45" s="7">
        <f t="shared" si="53"/>
        <v>280909.20273697888</v>
      </c>
      <c r="AI45" s="7">
        <f t="shared" si="53"/>
        <v>307241.7923998874</v>
      </c>
      <c r="AJ45" s="7">
        <f t="shared" si="53"/>
        <v>338354.59652793541</v>
      </c>
    </row>
    <row r="46" spans="2:36" x14ac:dyDescent="0.45">
      <c r="B46" t="s">
        <v>16</v>
      </c>
      <c r="C46" s="3">
        <v>7831</v>
      </c>
      <c r="D46" s="3">
        <v>7742</v>
      </c>
      <c r="E46" s="3">
        <v>6938</v>
      </c>
      <c r="F46" s="3">
        <v>7458</v>
      </c>
      <c r="G46" s="3">
        <v>7378</v>
      </c>
      <c r="H46" s="3">
        <v>7803</v>
      </c>
      <c r="I46" s="3">
        <v>7666</v>
      </c>
      <c r="J46" s="3">
        <v>8167</v>
      </c>
      <c r="K46" s="3">
        <v>9822</v>
      </c>
      <c r="L46" s="3">
        <v>7148</v>
      </c>
      <c r="T46" s="3">
        <v>19168</v>
      </c>
      <c r="U46" s="3">
        <v>27538</v>
      </c>
      <c r="V46" s="3">
        <f>SUM(E46:H46)</f>
        <v>29577</v>
      </c>
      <c r="W46" s="3">
        <f>SUM(I46:L46)</f>
        <v>32803</v>
      </c>
    </row>
    <row r="47" spans="2:36" x14ac:dyDescent="0.45">
      <c r="B47" t="s">
        <v>19</v>
      </c>
      <c r="C47" s="3">
        <v>1301</v>
      </c>
      <c r="D47" s="3">
        <v>1511</v>
      </c>
      <c r="E47" s="3">
        <v>1622</v>
      </c>
      <c r="F47" s="3">
        <v>1728</v>
      </c>
      <c r="G47" s="3">
        <v>1709</v>
      </c>
      <c r="H47" s="3">
        <v>1880</v>
      </c>
      <c r="I47" s="3">
        <v>1550</v>
      </c>
      <c r="J47" s="3">
        <v>1553</v>
      </c>
      <c r="K47" s="3">
        <v>1704</v>
      </c>
      <c r="L47" s="3">
        <v>1623</v>
      </c>
      <c r="T47" s="3">
        <v>3498</v>
      </c>
      <c r="U47" s="3">
        <v>4999</v>
      </c>
      <c r="V47" s="3">
        <f>SUM(E47:H47)</f>
        <v>6939</v>
      </c>
      <c r="W47" s="3">
        <f>SUM(I47:L47)</f>
        <v>6430</v>
      </c>
    </row>
    <row r="48" spans="2:36" x14ac:dyDescent="0.45">
      <c r="B48" t="s">
        <v>23</v>
      </c>
      <c r="C48" s="7">
        <f t="shared" ref="C48:L48" si="54">SUM(C46:C47)</f>
        <v>9132</v>
      </c>
      <c r="D48" s="7">
        <f t="shared" si="54"/>
        <v>9253</v>
      </c>
      <c r="E48" s="7">
        <f t="shared" si="54"/>
        <v>8560</v>
      </c>
      <c r="F48" s="7">
        <f t="shared" si="54"/>
        <v>9186</v>
      </c>
      <c r="G48" s="7">
        <f t="shared" si="54"/>
        <v>9087</v>
      </c>
      <c r="H48" s="7">
        <f t="shared" si="54"/>
        <v>9683</v>
      </c>
      <c r="I48" s="7">
        <f t="shared" si="54"/>
        <v>9216</v>
      </c>
      <c r="J48" s="7">
        <f t="shared" si="54"/>
        <v>9720</v>
      </c>
      <c r="K48" s="7">
        <f t="shared" si="54"/>
        <v>11526</v>
      </c>
      <c r="L48" s="7">
        <f t="shared" si="54"/>
        <v>8771</v>
      </c>
      <c r="T48" s="7">
        <f>T46+T47</f>
        <v>22666</v>
      </c>
      <c r="U48" s="7">
        <f>U46+U47</f>
        <v>32537</v>
      </c>
      <c r="V48" s="7">
        <f>V46+V47</f>
        <v>36516</v>
      </c>
      <c r="W48" s="7">
        <f>W46+W47</f>
        <v>39233</v>
      </c>
    </row>
    <row r="49" spans="2:147" x14ac:dyDescent="0.45">
      <c r="B49" t="s">
        <v>22</v>
      </c>
      <c r="C49" s="7">
        <f t="shared" ref="C49:L49" si="55">C45-C48</f>
        <v>6202</v>
      </c>
      <c r="D49" s="7">
        <f t="shared" si="55"/>
        <v>7231</v>
      </c>
      <c r="E49" s="7">
        <f t="shared" si="55"/>
        <v>9256</v>
      </c>
      <c r="F49" s="7">
        <f t="shared" si="55"/>
        <v>10950</v>
      </c>
      <c r="G49" s="7">
        <f t="shared" si="55"/>
        <v>12315</v>
      </c>
      <c r="H49" s="7">
        <f t="shared" si="55"/>
        <v>14963</v>
      </c>
      <c r="I49" s="7">
        <f t="shared" si="55"/>
        <v>15426</v>
      </c>
      <c r="J49" s="7">
        <f t="shared" si="55"/>
        <v>16905</v>
      </c>
      <c r="K49" s="7">
        <f t="shared" si="55"/>
        <v>18465</v>
      </c>
      <c r="L49" s="7">
        <f t="shared" si="55"/>
        <v>15217</v>
      </c>
      <c r="M49" s="7">
        <f>M45*M66</f>
        <v>15777.245307750007</v>
      </c>
      <c r="N49" s="7">
        <f>N45*N66</f>
        <v>17185.558073906435</v>
      </c>
      <c r="O49" s="7">
        <f>O45*O66</f>
        <v>19969.474270058323</v>
      </c>
      <c r="P49" s="7">
        <f>P45*P66</f>
        <v>16873.795717369841</v>
      </c>
      <c r="T49" s="7">
        <f>T45-T48</f>
        <v>9202</v>
      </c>
      <c r="U49" s="7">
        <f>U45-U48</f>
        <v>20106</v>
      </c>
      <c r="V49" s="7">
        <f>V45-V48</f>
        <v>47484</v>
      </c>
      <c r="W49" s="7">
        <f>W45-W48</f>
        <v>49338</v>
      </c>
      <c r="X49" s="7">
        <f>SUM(I49:L49)</f>
        <v>66013</v>
      </c>
      <c r="Y49" s="7">
        <f>SUM(M49:P49)</f>
        <v>69806.07336908461</v>
      </c>
      <c r="Z49" s="7">
        <f t="shared" ref="Z49:AJ49" si="56">Z45*$Z$66</f>
        <v>76777.861076299741</v>
      </c>
      <c r="AA49" s="7">
        <f t="shared" si="56"/>
        <v>90039.647716754946</v>
      </c>
      <c r="AB49" s="7">
        <f t="shared" si="56"/>
        <v>104608.75306140591</v>
      </c>
      <c r="AC49" s="7">
        <f t="shared" si="56"/>
        <v>118046.8856816878</v>
      </c>
      <c r="AD49" s="7">
        <f t="shared" si="56"/>
        <v>127923.57628692428</v>
      </c>
      <c r="AE49" s="7">
        <f t="shared" si="56"/>
        <v>133658.92112283019</v>
      </c>
      <c r="AF49" s="7">
        <f t="shared" si="56"/>
        <v>143527.15510075132</v>
      </c>
      <c r="AG49" s="7">
        <f t="shared" si="56"/>
        <v>155059.3080081699</v>
      </c>
      <c r="AH49" s="7">
        <f t="shared" si="56"/>
        <v>168545.52164218732</v>
      </c>
      <c r="AI49" s="7">
        <f t="shared" si="56"/>
        <v>184345.07543993244</v>
      </c>
      <c r="AJ49" s="7">
        <f t="shared" si="56"/>
        <v>203012.75791676124</v>
      </c>
    </row>
    <row r="50" spans="2:147" x14ac:dyDescent="0.45">
      <c r="B50" t="s">
        <v>17</v>
      </c>
      <c r="C50" s="3">
        <v>2831</v>
      </c>
      <c r="D50" s="3">
        <v>2489</v>
      </c>
      <c r="E50" s="3">
        <v>3181</v>
      </c>
      <c r="F50" s="3">
        <v>3275</v>
      </c>
      <c r="G50" s="3">
        <v>2263</v>
      </c>
      <c r="H50" s="3">
        <v>2045</v>
      </c>
      <c r="I50" s="3">
        <v>2653</v>
      </c>
      <c r="J50" s="3">
        <v>2528</v>
      </c>
      <c r="K50" s="3">
        <v>2752</v>
      </c>
      <c r="L50" s="3">
        <v>1287</v>
      </c>
      <c r="M50" s="3">
        <f>M13+M17</f>
        <v>2996</v>
      </c>
      <c r="N50" s="3">
        <f>N13+N17</f>
        <v>2948</v>
      </c>
      <c r="O50" s="3">
        <f>O13+O17</f>
        <v>3164.5666666666666</v>
      </c>
      <c r="P50" s="3">
        <f>P13+P17</f>
        <v>2041.2000000000003</v>
      </c>
      <c r="T50" s="3">
        <v>5325</v>
      </c>
      <c r="U50" s="3">
        <v>8554</v>
      </c>
      <c r="V50" s="3">
        <f>SUM(E50:H50)</f>
        <v>10764</v>
      </c>
      <c r="W50" s="3">
        <f>SUM(I50:L50)</f>
        <v>9220</v>
      </c>
      <c r="X50" s="3">
        <f t="shared" ref="X50:AJ50" si="57">X17+X13</f>
        <v>9230</v>
      </c>
      <c r="Y50" s="3">
        <f t="shared" si="57"/>
        <v>11149.766666666666</v>
      </c>
      <c r="Z50" s="3">
        <f t="shared" si="57"/>
        <v>12475.126666666667</v>
      </c>
      <c r="AA50" s="3">
        <f t="shared" si="57"/>
        <v>13571.726119999998</v>
      </c>
      <c r="AB50" s="3">
        <f t="shared" si="57"/>
        <v>14326.458354639999</v>
      </c>
      <c r="AC50" s="3">
        <f t="shared" si="57"/>
        <v>14647.21372906672</v>
      </c>
      <c r="AD50" s="3">
        <f t="shared" si="57"/>
        <v>14480.337785627293</v>
      </c>
      <c r="AE50" s="3">
        <f t="shared" si="57"/>
        <v>13823.245380513861</v>
      </c>
      <c r="AF50" s="3">
        <f t="shared" si="57"/>
        <v>13196.999861131062</v>
      </c>
      <c r="AG50" s="3">
        <f t="shared" si="57"/>
        <v>12600.119115228119</v>
      </c>
      <c r="AH50" s="3">
        <f t="shared" si="57"/>
        <v>12031.193329205715</v>
      </c>
      <c r="AI50" s="3">
        <f t="shared" si="57"/>
        <v>11488.881427392258</v>
      </c>
      <c r="AJ50" s="3">
        <f t="shared" si="57"/>
        <v>10971.90768773007</v>
      </c>
    </row>
    <row r="51" spans="2:147" x14ac:dyDescent="0.45">
      <c r="B51" s="12" t="s">
        <v>18</v>
      </c>
      <c r="C51" s="3">
        <v>8313</v>
      </c>
      <c r="D51" s="3">
        <v>8634</v>
      </c>
      <c r="E51" s="3">
        <v>9117</v>
      </c>
      <c r="F51" s="3">
        <v>9441</v>
      </c>
      <c r="G51" s="3">
        <v>9456</v>
      </c>
      <c r="H51" s="3">
        <v>9769</v>
      </c>
      <c r="I51" s="3">
        <v>11061</v>
      </c>
      <c r="J51" s="3">
        <v>11915</v>
      </c>
      <c r="K51" s="3">
        <v>11872</v>
      </c>
      <c r="L51" s="3">
        <v>11044</v>
      </c>
      <c r="M51" s="3">
        <f>$Y$51/4</f>
        <v>11858.503649999999</v>
      </c>
      <c r="N51" s="3">
        <f t="shared" ref="N51:P51" si="58">$Y$51/4</f>
        <v>11858.503649999999</v>
      </c>
      <c r="O51" s="3">
        <f t="shared" si="58"/>
        <v>11858.503649999999</v>
      </c>
      <c r="P51" s="3">
        <f t="shared" si="58"/>
        <v>11858.503649999999</v>
      </c>
      <c r="T51" s="3">
        <v>11849</v>
      </c>
      <c r="U51" s="3">
        <f>SUM(U32:U39)</f>
        <v>24319</v>
      </c>
      <c r="V51" s="3">
        <f>SUM(V32:V39)</f>
        <v>37784.235530312755</v>
      </c>
      <c r="W51" s="3">
        <f t="shared" ref="W51:W54" si="59">SUM(I51:L51)</f>
        <v>45892</v>
      </c>
      <c r="X51" s="3">
        <f>X31</f>
        <v>42777.3</v>
      </c>
      <c r="Y51" s="3">
        <f t="shared" ref="Y51:AJ51" si="60">Y31</f>
        <v>47434.014599999995</v>
      </c>
      <c r="Z51" s="3">
        <f t="shared" si="60"/>
        <v>51153.504550800004</v>
      </c>
      <c r="AA51" s="3">
        <f t="shared" si="60"/>
        <v>53588.369610981608</v>
      </c>
      <c r="AB51" s="3">
        <f t="shared" si="60"/>
        <v>54474.287207761234</v>
      </c>
      <c r="AC51" s="3">
        <f t="shared" si="60"/>
        <v>54558.28346709082</v>
      </c>
      <c r="AD51" s="3">
        <f t="shared" si="60"/>
        <v>54692.341125848267</v>
      </c>
      <c r="AE51" s="3">
        <f t="shared" si="60"/>
        <v>54875.042338310086</v>
      </c>
      <c r="AF51" s="3">
        <f t="shared" si="60"/>
        <v>55105.061855523905</v>
      </c>
      <c r="AG51" s="3">
        <f t="shared" si="60"/>
        <v>55381.162829559617</v>
      </c>
      <c r="AH51" s="3">
        <f t="shared" si="60"/>
        <v>55702.192836229777</v>
      </c>
      <c r="AI51" s="3">
        <f t="shared" si="60"/>
        <v>56067.080105529385</v>
      </c>
      <c r="AJ51" s="3">
        <f t="shared" si="60"/>
        <v>56474.829949586245</v>
      </c>
    </row>
    <row r="52" spans="2:147" x14ac:dyDescent="0.45">
      <c r="B52" t="s">
        <v>20</v>
      </c>
      <c r="C52" s="3">
        <v>609</v>
      </c>
      <c r="D52" s="3">
        <v>951</v>
      </c>
      <c r="E52" s="3">
        <v>972</v>
      </c>
      <c r="F52" s="3">
        <v>1043</v>
      </c>
      <c r="G52" s="3">
        <v>1240</v>
      </c>
      <c r="H52" s="3">
        <v>1598</v>
      </c>
      <c r="I52" s="3">
        <v>1591</v>
      </c>
      <c r="J52" s="3">
        <v>1801</v>
      </c>
      <c r="K52" s="3">
        <v>2009</v>
      </c>
      <c r="L52" s="3">
        <v>1956</v>
      </c>
      <c r="M52" s="3">
        <f>M45*$L$68</f>
        <v>2144.1478949168345</v>
      </c>
      <c r="N52" s="3">
        <f>N45*$L$68</f>
        <v>2335.5394080763294</v>
      </c>
      <c r="O52" s="3">
        <f>O45*$L$68</f>
        <v>2713.877193613062</v>
      </c>
      <c r="P52" s="3">
        <f>P45*$L$68</f>
        <v>2293.1705035278342</v>
      </c>
      <c r="T52" s="3">
        <v>1785</v>
      </c>
      <c r="U52" s="3">
        <v>2473</v>
      </c>
      <c r="V52" s="3">
        <f t="shared" ref="V52:V54" si="61">SUM(E52:H52)</f>
        <v>4853</v>
      </c>
      <c r="W52" s="3">
        <f t="shared" si="59"/>
        <v>7357</v>
      </c>
      <c r="X52" s="3">
        <f>SUM(I52:L52)</f>
        <v>7357</v>
      </c>
      <c r="Y52" s="3">
        <f>SUM(J52:M52)</f>
        <v>7910.147894916834</v>
      </c>
      <c r="Z52" s="3">
        <f t="shared" ref="Z52:AJ52" si="62">Z45*$Z$68</f>
        <v>8573.5278201868059</v>
      </c>
      <c r="AA52" s="3">
        <f t="shared" si="62"/>
        <v>10054.42732837097</v>
      </c>
      <c r="AB52" s="3">
        <f t="shared" si="62"/>
        <v>11681.310758523661</v>
      </c>
      <c r="AC52" s="3">
        <f t="shared" si="62"/>
        <v>13181.902234455138</v>
      </c>
      <c r="AD52" s="3">
        <f t="shared" si="62"/>
        <v>14284.799352039878</v>
      </c>
      <c r="AE52" s="3">
        <f t="shared" si="62"/>
        <v>14925.246192049372</v>
      </c>
      <c r="AF52" s="3">
        <f t="shared" si="62"/>
        <v>16027.198986250565</v>
      </c>
      <c r="AG52" s="3">
        <f t="shared" si="62"/>
        <v>17314.956060912307</v>
      </c>
      <c r="AH52" s="3">
        <f t="shared" si="62"/>
        <v>18820.916583377588</v>
      </c>
      <c r="AI52" s="3">
        <f t="shared" si="62"/>
        <v>20585.200090792456</v>
      </c>
      <c r="AJ52" s="3">
        <f t="shared" si="62"/>
        <v>22669.757967371675</v>
      </c>
    </row>
    <row r="53" spans="2:147" x14ac:dyDescent="0.45">
      <c r="B53" t="s">
        <v>21</v>
      </c>
      <c r="C53" s="3">
        <v>125</v>
      </c>
      <c r="D53" s="3">
        <v>70</v>
      </c>
      <c r="E53" s="3">
        <v>55</v>
      </c>
      <c r="F53" s="3">
        <v>53</v>
      </c>
      <c r="G53" s="3">
        <v>54</v>
      </c>
      <c r="H53" s="3">
        <v>71</v>
      </c>
      <c r="I53" s="3">
        <v>67</v>
      </c>
      <c r="J53" s="3">
        <v>70</v>
      </c>
      <c r="K53" s="3">
        <v>54</v>
      </c>
      <c r="L53" s="6">
        <v>52</v>
      </c>
      <c r="M53" s="6">
        <f t="shared" ref="M53:P53" si="63">I53*(1+$L$67)</f>
        <v>49.070422535211272</v>
      </c>
      <c r="N53" s="6">
        <f t="shared" si="63"/>
        <v>51.267605633802816</v>
      </c>
      <c r="O53" s="6">
        <f t="shared" si="63"/>
        <v>39.549295774647888</v>
      </c>
      <c r="P53" s="6">
        <f t="shared" si="63"/>
        <v>38.08450704225352</v>
      </c>
      <c r="T53" s="3">
        <v>348</v>
      </c>
      <c r="U53" s="3">
        <v>394</v>
      </c>
      <c r="V53" s="3">
        <f t="shared" si="61"/>
        <v>233</v>
      </c>
      <c r="W53" s="3">
        <f t="shared" si="59"/>
        <v>243</v>
      </c>
      <c r="X53" s="3">
        <f>SUM(I53:L53)</f>
        <v>243</v>
      </c>
      <c r="Y53" s="6">
        <f>SUM(M53:P53)</f>
        <v>177.97183098591546</v>
      </c>
      <c r="Z53" s="3">
        <f t="shared" ref="Z53:AJ53" si="64">Y53*(1+$Z$67)</f>
        <v>186.87042253521125</v>
      </c>
      <c r="AA53" s="3">
        <f t="shared" si="64"/>
        <v>196.21394366197183</v>
      </c>
      <c r="AB53" s="3">
        <f t="shared" si="64"/>
        <v>206.02464084507042</v>
      </c>
      <c r="AC53" s="3">
        <f t="shared" si="64"/>
        <v>216.32587288732395</v>
      </c>
      <c r="AD53" s="3">
        <f t="shared" si="64"/>
        <v>227.14216653169015</v>
      </c>
      <c r="AE53" s="3">
        <f t="shared" si="64"/>
        <v>238.49927485827467</v>
      </c>
      <c r="AF53" s="3">
        <f t="shared" si="64"/>
        <v>250.42423860118842</v>
      </c>
      <c r="AG53" s="3">
        <f t="shared" si="64"/>
        <v>262.94545053124784</v>
      </c>
      <c r="AH53" s="3">
        <f t="shared" si="64"/>
        <v>276.09272305781025</v>
      </c>
      <c r="AI53" s="3">
        <f t="shared" si="64"/>
        <v>289.89735921070076</v>
      </c>
      <c r="AJ53" s="3">
        <f t="shared" si="64"/>
        <v>304.39222717123579</v>
      </c>
    </row>
    <row r="54" spans="2:147" x14ac:dyDescent="0.45">
      <c r="B54" t="s">
        <v>14</v>
      </c>
      <c r="C54" s="3">
        <v>2164</v>
      </c>
      <c r="D54" s="3">
        <v>2323</v>
      </c>
      <c r="E54" s="3">
        <v>2277</v>
      </c>
      <c r="F54" s="3">
        <v>2616</v>
      </c>
      <c r="G54" s="3">
        <v>3123</v>
      </c>
      <c r="H54" s="3">
        <v>3139</v>
      </c>
      <c r="I54" s="3">
        <v>3413</v>
      </c>
      <c r="J54" s="3">
        <v>3333</v>
      </c>
      <c r="K54" s="3">
        <v>3950</v>
      </c>
      <c r="L54" s="3">
        <v>3804</v>
      </c>
      <c r="M54">
        <v>0</v>
      </c>
      <c r="N54">
        <f t="shared" ref="N54:P54" si="65">M54</f>
        <v>0</v>
      </c>
      <c r="O54">
        <f t="shared" si="65"/>
        <v>0</v>
      </c>
      <c r="P54">
        <f t="shared" si="65"/>
        <v>0</v>
      </c>
      <c r="T54" s="3">
        <v>5857</v>
      </c>
      <c r="U54" s="3">
        <v>7734</v>
      </c>
      <c r="V54" s="3">
        <f t="shared" si="61"/>
        <v>11155</v>
      </c>
      <c r="W54" s="3">
        <f t="shared" si="59"/>
        <v>14500</v>
      </c>
      <c r="X54" s="25">
        <f>SUM(H54:L54)</f>
        <v>17639</v>
      </c>
      <c r="Y54" s="6">
        <v>0</v>
      </c>
      <c r="Z54">
        <f>0</f>
        <v>0</v>
      </c>
      <c r="AA54">
        <f>0</f>
        <v>0</v>
      </c>
      <c r="AB54">
        <f>0</f>
        <v>0</v>
      </c>
      <c r="AC54">
        <f>0</f>
        <v>0</v>
      </c>
      <c r="AD54">
        <f>0</f>
        <v>0</v>
      </c>
      <c r="AE54">
        <f>0</f>
        <v>0</v>
      </c>
      <c r="AF54">
        <f>0</f>
        <v>0</v>
      </c>
      <c r="AG54">
        <f>0</f>
        <v>0</v>
      </c>
      <c r="AH54">
        <f>0</f>
        <v>0</v>
      </c>
      <c r="AI54">
        <f>0</f>
        <v>0</v>
      </c>
      <c r="AJ54">
        <f>0</f>
        <v>0</v>
      </c>
    </row>
    <row r="55" spans="2:147" x14ac:dyDescent="0.45">
      <c r="B55" t="s">
        <v>30</v>
      </c>
      <c r="C55" s="7">
        <f t="shared" ref="C55:K55" si="66">SUM(C50:C54)</f>
        <v>14042</v>
      </c>
      <c r="D55" s="7">
        <f t="shared" si="66"/>
        <v>14467</v>
      </c>
      <c r="E55" s="7">
        <f t="shared" si="66"/>
        <v>15602</v>
      </c>
      <c r="F55" s="7">
        <f t="shared" si="66"/>
        <v>16428</v>
      </c>
      <c r="G55" s="7">
        <f t="shared" si="66"/>
        <v>16136</v>
      </c>
      <c r="H55" s="7">
        <f t="shared" si="66"/>
        <v>16622</v>
      </c>
      <c r="I55" s="7">
        <f t="shared" si="66"/>
        <v>18785</v>
      </c>
      <c r="J55" s="7">
        <f t="shared" si="66"/>
        <v>19647</v>
      </c>
      <c r="K55" s="7">
        <f t="shared" si="66"/>
        <v>20637</v>
      </c>
      <c r="L55" s="7">
        <f>L50+L51+L52+L53+L54</f>
        <v>18143</v>
      </c>
      <c r="M55" s="7">
        <f t="shared" ref="M55:P55" si="67">M50+M51+M52+M53+M54</f>
        <v>17047.721967452046</v>
      </c>
      <c r="N55" s="7">
        <f t="shared" si="67"/>
        <v>17193.31066371013</v>
      </c>
      <c r="O55" s="7">
        <f t="shared" si="67"/>
        <v>17776.496806054372</v>
      </c>
      <c r="P55" s="7">
        <f t="shared" si="67"/>
        <v>16230.958660570086</v>
      </c>
      <c r="T55" s="7">
        <f>SUM(T50:T54)</f>
        <v>25164</v>
      </c>
      <c r="U55" s="7">
        <f>SUM(U50:U54)</f>
        <v>43474</v>
      </c>
      <c r="V55" s="7">
        <f>SUM(V50:V54)</f>
        <v>64789.235530312755</v>
      </c>
      <c r="W55" s="7">
        <f>SUM(W50:W54)</f>
        <v>77212</v>
      </c>
      <c r="X55" s="7">
        <f t="shared" ref="X55:X60" si="68">SUM(I55:L55)</f>
        <v>77212</v>
      </c>
      <c r="Y55" s="7">
        <f>SUM(M55:P55)</f>
        <v>68248.488097786641</v>
      </c>
      <c r="Z55" s="7">
        <f>SUM(Z50:Z54)</f>
        <v>72389.029460188685</v>
      </c>
      <c r="AA55" s="7">
        <f t="shared" ref="AA55:AJ55" si="69">SUM(AA50:AA54)</f>
        <v>77410.737003014539</v>
      </c>
      <c r="AB55" s="7">
        <f t="shared" si="69"/>
        <v>80688.080961769971</v>
      </c>
      <c r="AC55" s="7">
        <f t="shared" si="69"/>
        <v>82603.725303499989</v>
      </c>
      <c r="AD55" s="7">
        <f t="shared" si="69"/>
        <v>83684.620430047114</v>
      </c>
      <c r="AE55" s="7">
        <f t="shared" si="69"/>
        <v>83862.03318573159</v>
      </c>
      <c r="AF55" s="7">
        <f t="shared" si="69"/>
        <v>84579.684941506726</v>
      </c>
      <c r="AG55" s="7">
        <f t="shared" si="69"/>
        <v>85559.183456231302</v>
      </c>
      <c r="AH55" s="7">
        <f t="shared" si="69"/>
        <v>86830.395471870885</v>
      </c>
      <c r="AI55" s="7">
        <f t="shared" si="69"/>
        <v>88431.058982924806</v>
      </c>
      <c r="AJ55" s="7">
        <f t="shared" si="69"/>
        <v>90420.887831859218</v>
      </c>
    </row>
    <row r="56" spans="2:147" x14ac:dyDescent="0.45">
      <c r="B56" t="s">
        <v>24</v>
      </c>
      <c r="C56" s="7">
        <f t="shared" ref="C56:K56" si="70">C49-C55</f>
        <v>-7840</v>
      </c>
      <c r="D56" s="7">
        <f t="shared" si="70"/>
        <v>-7236</v>
      </c>
      <c r="E56" s="7">
        <f t="shared" si="70"/>
        <v>-6346</v>
      </c>
      <c r="F56" s="7">
        <f t="shared" si="70"/>
        <v>-5478</v>
      </c>
      <c r="G56" s="7">
        <f t="shared" si="70"/>
        <v>-3821</v>
      </c>
      <c r="H56" s="7">
        <f t="shared" si="70"/>
        <v>-1659</v>
      </c>
      <c r="I56" s="7">
        <f t="shared" si="70"/>
        <v>-3359</v>
      </c>
      <c r="J56" s="7">
        <f t="shared" si="70"/>
        <v>-2742</v>
      </c>
      <c r="K56" s="7">
        <f t="shared" si="70"/>
        <v>-2172</v>
      </c>
      <c r="L56" s="7">
        <f>L49-L55</f>
        <v>-2926</v>
      </c>
      <c r="M56" s="7">
        <f t="shared" ref="M56:P56" si="71">M49-M55</f>
        <v>-1270.4766597020389</v>
      </c>
      <c r="N56" s="7">
        <f t="shared" si="71"/>
        <v>-7.7525898036947183</v>
      </c>
      <c r="O56" s="7">
        <f t="shared" si="71"/>
        <v>2192.9774640039504</v>
      </c>
      <c r="P56" s="7">
        <f t="shared" si="71"/>
        <v>642.83705679975537</v>
      </c>
      <c r="T56" s="7">
        <f>T49-T55</f>
        <v>-15962</v>
      </c>
      <c r="U56" s="7">
        <f>U49-U55</f>
        <v>-23368</v>
      </c>
      <c r="V56" s="7">
        <f>V49-V55</f>
        <v>-17305.235530312755</v>
      </c>
      <c r="W56" s="7">
        <f>W49-W55</f>
        <v>-27874</v>
      </c>
      <c r="X56" s="7">
        <f t="shared" si="68"/>
        <v>-11199</v>
      </c>
      <c r="Y56" s="7">
        <f>SUM(M56:P56)</f>
        <v>1557.5852712979722</v>
      </c>
      <c r="Z56" s="7">
        <f>Z49-Z55</f>
        <v>4388.8316161110561</v>
      </c>
      <c r="AA56" s="7">
        <f t="shared" ref="AA56:AJ56" si="72">AA49-AA55</f>
        <v>12628.910713740406</v>
      </c>
      <c r="AB56" s="7">
        <f t="shared" si="72"/>
        <v>23920.672099635936</v>
      </c>
      <c r="AC56" s="7">
        <f t="shared" si="72"/>
        <v>35443.160378187808</v>
      </c>
      <c r="AD56" s="7">
        <f t="shared" si="72"/>
        <v>44238.955856877161</v>
      </c>
      <c r="AE56" s="7">
        <f t="shared" si="72"/>
        <v>49796.887937098596</v>
      </c>
      <c r="AF56" s="7">
        <f t="shared" si="72"/>
        <v>58947.470159244593</v>
      </c>
      <c r="AG56" s="7">
        <f t="shared" si="72"/>
        <v>69500.124551938599</v>
      </c>
      <c r="AH56" s="7">
        <f t="shared" si="72"/>
        <v>81715.126170316435</v>
      </c>
      <c r="AI56" s="7">
        <f t="shared" si="72"/>
        <v>95914.01645700763</v>
      </c>
      <c r="AJ56" s="7">
        <f t="shared" si="72"/>
        <v>112591.87008490202</v>
      </c>
    </row>
    <row r="57" spans="2:147" x14ac:dyDescent="0.45">
      <c r="B57" t="s">
        <v>25</v>
      </c>
      <c r="C57" s="3">
        <v>111</v>
      </c>
      <c r="D57" s="3">
        <v>-383</v>
      </c>
      <c r="E57" s="3">
        <v>-60</v>
      </c>
      <c r="F57" s="3">
        <v>-92</v>
      </c>
      <c r="G57" s="3">
        <v>50</v>
      </c>
      <c r="H57" s="3">
        <v>-23</v>
      </c>
      <c r="I57" s="3">
        <v>-181</v>
      </c>
      <c r="J57" s="3">
        <v>9</v>
      </c>
      <c r="K57" s="3">
        <v>-38</v>
      </c>
      <c r="L57" s="3">
        <v>-167</v>
      </c>
      <c r="M57">
        <f>L57</f>
        <v>-167</v>
      </c>
      <c r="N57">
        <f t="shared" ref="N57:P57" si="73">M57</f>
        <v>-167</v>
      </c>
      <c r="O57">
        <f t="shared" si="73"/>
        <v>-167</v>
      </c>
      <c r="P57">
        <f t="shared" si="73"/>
        <v>-167</v>
      </c>
      <c r="T57" s="3">
        <v>-740</v>
      </c>
      <c r="U57" s="3">
        <v>-459</v>
      </c>
      <c r="V57" s="3">
        <f>SUM(E57:H57)</f>
        <v>-125</v>
      </c>
      <c r="W57" s="3">
        <f>SUM(I57:L57)</f>
        <v>-377</v>
      </c>
      <c r="X57" s="3">
        <f t="shared" si="68"/>
        <v>-377</v>
      </c>
      <c r="Y57" s="3">
        <f>SUM(M57:P57)</f>
        <v>-668</v>
      </c>
      <c r="Z57" s="24">
        <f>AVERAGE(U57:X57)</f>
        <v>-334.5</v>
      </c>
      <c r="AA57" s="3">
        <f>Z57</f>
        <v>-334.5</v>
      </c>
      <c r="AB57" s="3">
        <f t="shared" ref="AB57:AJ57" si="74">AA57</f>
        <v>-334.5</v>
      </c>
      <c r="AC57" s="3">
        <f t="shared" si="74"/>
        <v>-334.5</v>
      </c>
      <c r="AD57" s="3">
        <f t="shared" si="74"/>
        <v>-334.5</v>
      </c>
      <c r="AE57" s="3">
        <f t="shared" si="74"/>
        <v>-334.5</v>
      </c>
      <c r="AF57" s="3">
        <f t="shared" si="74"/>
        <v>-334.5</v>
      </c>
      <c r="AG57" s="3">
        <f t="shared" si="74"/>
        <v>-334.5</v>
      </c>
      <c r="AH57" s="3">
        <f t="shared" si="74"/>
        <v>-334.5</v>
      </c>
      <c r="AI57" s="3">
        <f t="shared" si="74"/>
        <v>-334.5</v>
      </c>
      <c r="AJ57" s="3">
        <f t="shared" si="74"/>
        <v>-334.5</v>
      </c>
    </row>
    <row r="58" spans="2:147" x14ac:dyDescent="0.45">
      <c r="B58" t="s">
        <v>32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-57</v>
      </c>
      <c r="K58" s="3">
        <v>0</v>
      </c>
      <c r="L58" s="3">
        <v>-2271</v>
      </c>
      <c r="M58">
        <v>0</v>
      </c>
      <c r="N58">
        <f t="shared" ref="N58:P58" si="75">M58</f>
        <v>0</v>
      </c>
      <c r="O58">
        <f t="shared" si="75"/>
        <v>0</v>
      </c>
      <c r="P58">
        <f t="shared" si="75"/>
        <v>0</v>
      </c>
      <c r="T58" s="3">
        <v>-281</v>
      </c>
      <c r="U58" s="3">
        <v>-24</v>
      </c>
      <c r="V58" s="3">
        <f>SUM(E58:H58)</f>
        <v>0</v>
      </c>
      <c r="W58" s="3">
        <f>SUM(I58:L58)</f>
        <v>-2328</v>
      </c>
      <c r="X58" s="3">
        <v>0</v>
      </c>
      <c r="Y58" s="3">
        <f t="shared" ref="Y58:Y61" si="76">SUM(M58:P58)</f>
        <v>0</v>
      </c>
      <c r="Z58">
        <v>0</v>
      </c>
      <c r="AA58">
        <f>Z58</f>
        <v>0</v>
      </c>
      <c r="AB58">
        <f t="shared" ref="AB58:AJ58" si="77">AA58</f>
        <v>0</v>
      </c>
      <c r="AC58">
        <f t="shared" si="77"/>
        <v>0</v>
      </c>
      <c r="AD58">
        <f t="shared" si="77"/>
        <v>0</v>
      </c>
      <c r="AE58">
        <f t="shared" si="77"/>
        <v>0</v>
      </c>
      <c r="AF58">
        <f t="shared" si="77"/>
        <v>0</v>
      </c>
      <c r="AG58">
        <f t="shared" si="77"/>
        <v>0</v>
      </c>
      <c r="AH58">
        <f t="shared" si="77"/>
        <v>0</v>
      </c>
      <c r="AI58">
        <f t="shared" si="77"/>
        <v>0</v>
      </c>
      <c r="AJ58">
        <f t="shared" si="77"/>
        <v>0</v>
      </c>
    </row>
    <row r="59" spans="2:147" x14ac:dyDescent="0.45">
      <c r="B59" t="s">
        <v>26</v>
      </c>
      <c r="C59" s="7">
        <f t="shared" ref="C59:P59" si="78">C56+C57+C58</f>
        <v>-7729</v>
      </c>
      <c r="D59" s="7">
        <f t="shared" si="78"/>
        <v>-7619</v>
      </c>
      <c r="E59" s="7">
        <f t="shared" si="78"/>
        <v>-6406</v>
      </c>
      <c r="F59" s="7">
        <f t="shared" si="78"/>
        <v>-5570</v>
      </c>
      <c r="G59" s="7">
        <f t="shared" si="78"/>
        <v>-3771</v>
      </c>
      <c r="H59" s="7">
        <f t="shared" si="78"/>
        <v>-1682</v>
      </c>
      <c r="I59" s="7">
        <f t="shared" si="78"/>
        <v>-3540</v>
      </c>
      <c r="J59" s="7">
        <f t="shared" si="78"/>
        <v>-2790</v>
      </c>
      <c r="K59" s="7">
        <f t="shared" si="78"/>
        <v>-2210</v>
      </c>
      <c r="L59" s="7">
        <f t="shared" si="78"/>
        <v>-5364</v>
      </c>
      <c r="M59" s="7">
        <f t="shared" si="78"/>
        <v>-1437.4766597020389</v>
      </c>
      <c r="N59" s="7">
        <f t="shared" si="78"/>
        <v>-174.75258980369472</v>
      </c>
      <c r="O59" s="7">
        <f t="shared" si="78"/>
        <v>2025.9774640039504</v>
      </c>
      <c r="P59" s="7">
        <f t="shared" si="78"/>
        <v>475.83705679975537</v>
      </c>
      <c r="T59" s="7">
        <f>T56+T57+T58</f>
        <v>-16983</v>
      </c>
      <c r="U59" s="7">
        <f>U56+U57+U58</f>
        <v>-23851</v>
      </c>
      <c r="V59" s="7">
        <f>V56+V57+V58</f>
        <v>-17430.235530312755</v>
      </c>
      <c r="W59" s="7">
        <f>W56+W57+W58</f>
        <v>-30579</v>
      </c>
      <c r="X59" s="7">
        <f t="shared" si="68"/>
        <v>-13904</v>
      </c>
      <c r="Y59" s="7">
        <f t="shared" si="76"/>
        <v>889.58527129797221</v>
      </c>
      <c r="Z59" s="7">
        <f>Z56+Z57+Z58</f>
        <v>4054.3316161110561</v>
      </c>
      <c r="AA59" s="7">
        <f t="shared" ref="AA59:AJ59" si="79">AA56+AA57+AA58</f>
        <v>12294.410713740406</v>
      </c>
      <c r="AB59" s="7">
        <f t="shared" si="79"/>
        <v>23586.172099635936</v>
      </c>
      <c r="AC59" s="7">
        <f t="shared" si="79"/>
        <v>35108.660378187808</v>
      </c>
      <c r="AD59" s="7">
        <f t="shared" si="79"/>
        <v>43904.455856877161</v>
      </c>
      <c r="AE59" s="7">
        <f t="shared" si="79"/>
        <v>49462.387937098596</v>
      </c>
      <c r="AF59" s="7">
        <f t="shared" si="79"/>
        <v>58612.970159244593</v>
      </c>
      <c r="AG59" s="7">
        <f t="shared" si="79"/>
        <v>69165.624551938599</v>
      </c>
      <c r="AH59" s="7">
        <f t="shared" si="79"/>
        <v>81380.626170316435</v>
      </c>
      <c r="AI59" s="7">
        <f t="shared" si="79"/>
        <v>95579.51645700763</v>
      </c>
      <c r="AJ59" s="7">
        <f t="shared" si="79"/>
        <v>112257.37008490202</v>
      </c>
    </row>
    <row r="60" spans="2:147" x14ac:dyDescent="0.45">
      <c r="B60" t="s">
        <v>27</v>
      </c>
      <c r="C60" s="3">
        <v>56</v>
      </c>
      <c r="D60" s="3">
        <v>6</v>
      </c>
      <c r="E60" s="3">
        <v>48</v>
      </c>
      <c r="F60" s="3">
        <v>145</v>
      </c>
      <c r="G60" s="3">
        <v>150</v>
      </c>
      <c r="H60" s="3">
        <v>-7</v>
      </c>
      <c r="I60" s="3">
        <v>44</v>
      </c>
      <c r="J60" s="3">
        <v>127</v>
      </c>
      <c r="K60" s="3">
        <v>7</v>
      </c>
      <c r="L60" s="3">
        <v>141</v>
      </c>
      <c r="M60" s="3">
        <f>ABS(M59)*$L$69</f>
        <v>37.786019578297442</v>
      </c>
      <c r="N60" s="3">
        <f>ABS(N59)*$L$69</f>
        <v>4.5936083449517069</v>
      </c>
      <c r="O60" s="3">
        <f>ABS(O59)*$L$69</f>
        <v>53.255559736121739</v>
      </c>
      <c r="P60" s="3">
        <f>ABS(P59)*$L$69</f>
        <v>12.508021068002519</v>
      </c>
      <c r="T60" s="3">
        <v>27</v>
      </c>
      <c r="U60" s="3">
        <v>113</v>
      </c>
      <c r="V60" s="3">
        <f>SUM(E60:H60)</f>
        <v>336</v>
      </c>
      <c r="W60" s="3">
        <f>SUM(I60:L60)</f>
        <v>319</v>
      </c>
      <c r="X60" s="3">
        <f t="shared" si="68"/>
        <v>319</v>
      </c>
      <c r="Y60" s="3">
        <f t="shared" si="76"/>
        <v>108.14320872737341</v>
      </c>
      <c r="Z60" s="3">
        <f t="shared" ref="Z60:AJ60" si="80">ABS(Z59)*Z69</f>
        <v>202.71658080555281</v>
      </c>
      <c r="AA60" s="3">
        <f t="shared" si="80"/>
        <v>862.69879978316442</v>
      </c>
      <c r="AB60" s="3">
        <f t="shared" si="80"/>
        <v>2130.7747874811107</v>
      </c>
      <c r="AC60" s="3">
        <f t="shared" si="80"/>
        <v>3879.8580583935345</v>
      </c>
      <c r="AD60" s="3">
        <f t="shared" si="80"/>
        <v>5737.4342913767068</v>
      </c>
      <c r="AE60" s="3">
        <f t="shared" si="80"/>
        <v>7461.4012203113225</v>
      </c>
      <c r="AF60" s="3">
        <f t="shared" si="80"/>
        <v>10023.990156634009</v>
      </c>
      <c r="AG60" s="3">
        <f t="shared" si="80"/>
        <v>13223.775758085139</v>
      </c>
      <c r="AH60" s="3">
        <f t="shared" si="80"/>
        <v>17200.609147358078</v>
      </c>
      <c r="AI60" s="3">
        <f t="shared" si="80"/>
        <v>22129.525445290972</v>
      </c>
      <c r="AJ60" s="3">
        <f t="shared" si="80"/>
        <v>28255.180050369836</v>
      </c>
    </row>
    <row r="61" spans="2:147" s="8" customFormat="1" x14ac:dyDescent="0.45">
      <c r="B61" s="18" t="s">
        <v>28</v>
      </c>
      <c r="C61" s="23">
        <f t="shared" ref="C61:K61" si="81">C59-C60</f>
        <v>-7785</v>
      </c>
      <c r="D61" s="23">
        <f t="shared" si="81"/>
        <v>-7625</v>
      </c>
      <c r="E61" s="23">
        <f t="shared" si="81"/>
        <v>-6454</v>
      </c>
      <c r="F61" s="23">
        <f t="shared" si="81"/>
        <v>-5715</v>
      </c>
      <c r="G61" s="23">
        <f t="shared" si="81"/>
        <v>-3921</v>
      </c>
      <c r="H61" s="23">
        <f t="shared" si="81"/>
        <v>-1675</v>
      </c>
      <c r="I61" s="23">
        <f t="shared" si="81"/>
        <v>-3584</v>
      </c>
      <c r="J61" s="23">
        <f t="shared" si="81"/>
        <v>-2917</v>
      </c>
      <c r="K61" s="23">
        <f t="shared" si="81"/>
        <v>-2217</v>
      </c>
      <c r="L61" s="23">
        <f>L59-L60</f>
        <v>-5505</v>
      </c>
      <c r="M61" s="23">
        <f t="shared" ref="M61:P61" si="82">M59-M60</f>
        <v>-1475.2626792803362</v>
      </c>
      <c r="N61" s="23">
        <f t="shared" si="82"/>
        <v>-179.34619814864644</v>
      </c>
      <c r="O61" s="23">
        <f t="shared" si="82"/>
        <v>1972.7219042678287</v>
      </c>
      <c r="P61" s="23">
        <f t="shared" si="82"/>
        <v>463.32903573175287</v>
      </c>
      <c r="T61" s="23">
        <f>T59-T60</f>
        <v>-17010</v>
      </c>
      <c r="U61" s="23">
        <f>U59-U60</f>
        <v>-23964</v>
      </c>
      <c r="V61" s="23">
        <f>V59-V60</f>
        <v>-17766.235530312755</v>
      </c>
      <c r="W61" s="23">
        <f>W59-W60</f>
        <v>-30898</v>
      </c>
      <c r="X61" s="23">
        <f>X59-X60</f>
        <v>-14223</v>
      </c>
      <c r="Y61" s="23">
        <f t="shared" si="76"/>
        <v>781.44206257059886</v>
      </c>
      <c r="Z61" s="23">
        <f>Z59-Z60</f>
        <v>3851.6150353055032</v>
      </c>
      <c r="AA61" s="23">
        <f t="shared" ref="AA61:AJ61" si="83">AA59-AA60</f>
        <v>11431.711913957242</v>
      </c>
      <c r="AB61" s="23">
        <f t="shared" si="83"/>
        <v>21455.397312154826</v>
      </c>
      <c r="AC61" s="23">
        <f t="shared" si="83"/>
        <v>31228.802319794275</v>
      </c>
      <c r="AD61" s="23">
        <f t="shared" si="83"/>
        <v>38167.021565500458</v>
      </c>
      <c r="AE61" s="23">
        <f t="shared" si="83"/>
        <v>42000.986716787273</v>
      </c>
      <c r="AF61" s="23">
        <f t="shared" si="83"/>
        <v>48588.98000261058</v>
      </c>
      <c r="AG61" s="23">
        <f t="shared" si="83"/>
        <v>55941.84879385346</v>
      </c>
      <c r="AH61" s="23">
        <f t="shared" si="83"/>
        <v>64180.01702295836</v>
      </c>
      <c r="AI61" s="23">
        <f t="shared" si="83"/>
        <v>73449.991011716658</v>
      </c>
      <c r="AJ61" s="23">
        <f t="shared" si="83"/>
        <v>84002.190034532192</v>
      </c>
      <c r="AK61" s="23">
        <f t="shared" ref="AK61:BP61" si="84">AJ61*(1+TGR)</f>
        <v>86522.255735568164</v>
      </c>
      <c r="AL61" s="23">
        <f t="shared" si="84"/>
        <v>89117.923407635215</v>
      </c>
      <c r="AM61" s="23">
        <f t="shared" si="84"/>
        <v>91791.461109864278</v>
      </c>
      <c r="AN61" s="23">
        <f t="shared" si="84"/>
        <v>94545.204943160206</v>
      </c>
      <c r="AO61" s="23">
        <f t="shared" si="84"/>
        <v>97381.56109145502</v>
      </c>
      <c r="AP61" s="23">
        <f t="shared" si="84"/>
        <v>100303.00792419867</v>
      </c>
      <c r="AQ61" s="23">
        <f t="shared" si="84"/>
        <v>103312.09816192463</v>
      </c>
      <c r="AR61" s="23">
        <f t="shared" si="84"/>
        <v>106411.46110678237</v>
      </c>
      <c r="AS61" s="23">
        <f t="shared" si="84"/>
        <v>109603.80493998584</v>
      </c>
      <c r="AT61" s="23">
        <f t="shared" si="84"/>
        <v>112891.91908818542</v>
      </c>
      <c r="AU61" s="23">
        <f t="shared" si="84"/>
        <v>116278.67666083098</v>
      </c>
      <c r="AV61" s="23">
        <f t="shared" si="84"/>
        <v>119767.03696065591</v>
      </c>
      <c r="AW61" s="23">
        <f t="shared" si="84"/>
        <v>123360.0480694756</v>
      </c>
      <c r="AX61" s="23">
        <f t="shared" si="84"/>
        <v>127060.84951155986</v>
      </c>
      <c r="AY61" s="23">
        <f t="shared" si="84"/>
        <v>130872.67499690666</v>
      </c>
      <c r="AZ61" s="23">
        <f t="shared" si="84"/>
        <v>134798.85524681385</v>
      </c>
      <c r="BA61" s="23">
        <f t="shared" si="84"/>
        <v>138842.82090421827</v>
      </c>
      <c r="BB61" s="23">
        <f t="shared" si="84"/>
        <v>143008.10553134483</v>
      </c>
      <c r="BC61" s="23">
        <f t="shared" si="84"/>
        <v>147298.34869728517</v>
      </c>
      <c r="BD61" s="23">
        <f t="shared" si="84"/>
        <v>151717.29915820374</v>
      </c>
      <c r="BE61" s="23">
        <f t="shared" si="84"/>
        <v>156268.81813294985</v>
      </c>
      <c r="BF61" s="23">
        <f t="shared" si="84"/>
        <v>160956.88267693834</v>
      </c>
      <c r="BG61" s="23">
        <f t="shared" si="84"/>
        <v>165785.58915724649</v>
      </c>
      <c r="BH61" s="23">
        <f t="shared" si="84"/>
        <v>170759.15683196389</v>
      </c>
      <c r="BI61" s="23">
        <f t="shared" si="84"/>
        <v>175881.93153692281</v>
      </c>
      <c r="BJ61" s="23">
        <f t="shared" si="84"/>
        <v>181158.38948303051</v>
      </c>
      <c r="BK61" s="23">
        <f t="shared" si="84"/>
        <v>186593.14116752142</v>
      </c>
      <c r="BL61" s="23">
        <f t="shared" si="84"/>
        <v>192190.93540254707</v>
      </c>
      <c r="BM61" s="23">
        <f t="shared" si="84"/>
        <v>197956.66346462347</v>
      </c>
      <c r="BN61" s="23">
        <f t="shared" si="84"/>
        <v>203895.36336856219</v>
      </c>
      <c r="BO61" s="23">
        <f t="shared" si="84"/>
        <v>210012.22426961907</v>
      </c>
      <c r="BP61" s="23">
        <f t="shared" si="84"/>
        <v>216312.59099770765</v>
      </c>
      <c r="BQ61" s="23">
        <f t="shared" ref="BQ61:CV61" si="85">BP61*(1+TGR)</f>
        <v>222801.96872763889</v>
      </c>
      <c r="BR61" s="23">
        <f t="shared" si="85"/>
        <v>229486.02778946806</v>
      </c>
      <c r="BS61" s="23">
        <f t="shared" si="85"/>
        <v>236370.6086231521</v>
      </c>
      <c r="BT61" s="23">
        <f t="shared" si="85"/>
        <v>243461.72688184667</v>
      </c>
      <c r="BU61" s="23">
        <f t="shared" si="85"/>
        <v>250765.57868830208</v>
      </c>
      <c r="BV61" s="23">
        <f t="shared" si="85"/>
        <v>258288.54604895116</v>
      </c>
      <c r="BW61" s="23">
        <f t="shared" si="85"/>
        <v>266037.20243041968</v>
      </c>
      <c r="BX61" s="23">
        <f t="shared" si="85"/>
        <v>274018.31850333227</v>
      </c>
      <c r="BY61" s="23">
        <f t="shared" si="85"/>
        <v>282238.86805843224</v>
      </c>
      <c r="BZ61" s="23">
        <f t="shared" si="85"/>
        <v>290706.03410018521</v>
      </c>
      <c r="CA61" s="23">
        <f t="shared" si="85"/>
        <v>299427.21512319078</v>
      </c>
      <c r="CB61" s="23">
        <f t="shared" si="85"/>
        <v>308410.03157688648</v>
      </c>
      <c r="CC61" s="23">
        <f t="shared" si="85"/>
        <v>317662.3325241931</v>
      </c>
      <c r="CD61" s="23">
        <f t="shared" si="85"/>
        <v>327192.20249991893</v>
      </c>
      <c r="CE61" s="23">
        <f t="shared" si="85"/>
        <v>337007.96857491648</v>
      </c>
      <c r="CF61" s="23">
        <f t="shared" si="85"/>
        <v>347118.20763216401</v>
      </c>
      <c r="CG61" s="23">
        <f t="shared" si="85"/>
        <v>357531.75386112893</v>
      </c>
      <c r="CH61" s="23">
        <f t="shared" si="85"/>
        <v>368257.70647696283</v>
      </c>
      <c r="CI61" s="23">
        <f t="shared" si="85"/>
        <v>379305.43767127173</v>
      </c>
      <c r="CJ61" s="23">
        <f t="shared" si="85"/>
        <v>390684.60080140992</v>
      </c>
      <c r="CK61" s="23">
        <f t="shared" si="85"/>
        <v>402405.13882545225</v>
      </c>
      <c r="CL61" s="23">
        <f t="shared" si="85"/>
        <v>414477.29299021582</v>
      </c>
      <c r="CM61" s="23">
        <f t="shared" si="85"/>
        <v>426911.61177992233</v>
      </c>
      <c r="CN61" s="23">
        <f t="shared" si="85"/>
        <v>439718.96013332001</v>
      </c>
      <c r="CO61" s="23">
        <f t="shared" si="85"/>
        <v>452910.52893731964</v>
      </c>
      <c r="CP61" s="23">
        <f t="shared" si="85"/>
        <v>466497.84480543924</v>
      </c>
      <c r="CQ61" s="23">
        <f t="shared" si="85"/>
        <v>480492.78014960245</v>
      </c>
      <c r="CR61" s="23">
        <f t="shared" si="85"/>
        <v>494907.56355409051</v>
      </c>
      <c r="CS61" s="23">
        <f t="shared" si="85"/>
        <v>509754.79046071321</v>
      </c>
      <c r="CT61" s="23">
        <f t="shared" si="85"/>
        <v>525047.43417453463</v>
      </c>
      <c r="CU61" s="23">
        <f t="shared" si="85"/>
        <v>540798.85719977063</v>
      </c>
      <c r="CV61" s="23">
        <f t="shared" si="85"/>
        <v>557022.82291576371</v>
      </c>
      <c r="CW61" s="23">
        <f t="shared" ref="CW61:EB61" si="86">CV61*(1+TGR)</f>
        <v>573733.50760323659</v>
      </c>
      <c r="CX61" s="23">
        <f t="shared" si="86"/>
        <v>590945.51283133368</v>
      </c>
      <c r="CY61" s="23">
        <f t="shared" si="86"/>
        <v>608673.87821627373</v>
      </c>
      <c r="CZ61" s="23">
        <f t="shared" si="86"/>
        <v>626934.09456276195</v>
      </c>
      <c r="DA61" s="23">
        <f t="shared" si="86"/>
        <v>645742.11739964481</v>
      </c>
      <c r="DB61" s="23">
        <f t="shared" si="86"/>
        <v>665114.38092163415</v>
      </c>
      <c r="DC61" s="23">
        <f t="shared" si="86"/>
        <v>685067.81234928314</v>
      </c>
      <c r="DD61" s="23">
        <f t="shared" si="86"/>
        <v>705619.84671976161</v>
      </c>
      <c r="DE61" s="23">
        <f t="shared" si="86"/>
        <v>726788.44212135451</v>
      </c>
      <c r="DF61" s="23">
        <f t="shared" si="86"/>
        <v>748592.09538499522</v>
      </c>
      <c r="DG61" s="23">
        <f t="shared" si="86"/>
        <v>771049.85824654507</v>
      </c>
      <c r="DH61" s="23">
        <f t="shared" si="86"/>
        <v>794181.35399394145</v>
      </c>
      <c r="DI61" s="23">
        <f t="shared" si="86"/>
        <v>818006.79461375973</v>
      </c>
      <c r="DJ61" s="23">
        <f t="shared" si="86"/>
        <v>842546.9984521725</v>
      </c>
      <c r="DK61" s="23">
        <f t="shared" si="86"/>
        <v>867823.40840573772</v>
      </c>
      <c r="DL61" s="23">
        <f t="shared" si="86"/>
        <v>893858.11065790989</v>
      </c>
      <c r="DM61" s="23">
        <f t="shared" si="86"/>
        <v>920673.85397764726</v>
      </c>
      <c r="DN61" s="23">
        <f t="shared" si="86"/>
        <v>948294.06959697674</v>
      </c>
      <c r="DO61" s="23">
        <f t="shared" si="86"/>
        <v>976742.89168488607</v>
      </c>
      <c r="DP61" s="23">
        <f t="shared" si="86"/>
        <v>1006045.1784354327</v>
      </c>
      <c r="DQ61" s="23">
        <f t="shared" si="86"/>
        <v>1036226.5337884957</v>
      </c>
      <c r="DR61" s="23">
        <f t="shared" si="86"/>
        <v>1067313.3298021506</v>
      </c>
      <c r="DS61" s="23">
        <f t="shared" si="86"/>
        <v>1099332.7296962151</v>
      </c>
      <c r="DT61" s="23">
        <f t="shared" si="86"/>
        <v>1132312.7115871017</v>
      </c>
      <c r="DU61" s="23">
        <f t="shared" si="86"/>
        <v>1166282.0929347149</v>
      </c>
      <c r="DV61" s="23">
        <f t="shared" si="86"/>
        <v>1201270.5557227563</v>
      </c>
      <c r="DW61" s="23">
        <f t="shared" si="86"/>
        <v>1237308.6723944391</v>
      </c>
      <c r="DX61" s="23">
        <f t="shared" si="86"/>
        <v>1274427.9325662723</v>
      </c>
      <c r="DY61" s="23">
        <f t="shared" si="86"/>
        <v>1312660.7705432605</v>
      </c>
      <c r="DZ61" s="23">
        <f t="shared" si="86"/>
        <v>1352040.5936595583</v>
      </c>
      <c r="EA61" s="23">
        <f t="shared" si="86"/>
        <v>1392601.8114693451</v>
      </c>
      <c r="EB61" s="23">
        <f t="shared" si="86"/>
        <v>1434379.8658134255</v>
      </c>
      <c r="EC61" s="23">
        <f t="shared" ref="EC61:EQ61" si="87">EB61*(1+TGR)</f>
        <v>1477411.2617878283</v>
      </c>
      <c r="ED61" s="23">
        <f t="shared" si="87"/>
        <v>1521733.5996414633</v>
      </c>
      <c r="EE61" s="23">
        <f t="shared" si="87"/>
        <v>1567385.6076307071</v>
      </c>
      <c r="EF61" s="23">
        <f t="shared" si="87"/>
        <v>1614407.1758596282</v>
      </c>
      <c r="EG61" s="23">
        <f t="shared" si="87"/>
        <v>1662839.3911354172</v>
      </c>
      <c r="EH61" s="23">
        <f t="shared" si="87"/>
        <v>1712724.5728694797</v>
      </c>
      <c r="EI61" s="23">
        <f t="shared" si="87"/>
        <v>1764106.3100555642</v>
      </c>
      <c r="EJ61" s="23">
        <f t="shared" si="87"/>
        <v>1817029.4993572312</v>
      </c>
      <c r="EK61" s="23">
        <f t="shared" si="87"/>
        <v>1871540.3843379482</v>
      </c>
      <c r="EL61" s="23">
        <f t="shared" si="87"/>
        <v>1927686.5958680867</v>
      </c>
      <c r="EM61" s="23">
        <f t="shared" si="87"/>
        <v>1985517.1937441293</v>
      </c>
      <c r="EN61" s="23">
        <f t="shared" si="87"/>
        <v>2045082.7095564532</v>
      </c>
      <c r="EO61" s="23">
        <f t="shared" si="87"/>
        <v>2106435.1908431468</v>
      </c>
      <c r="EP61" s="23">
        <f t="shared" si="87"/>
        <v>2169628.2465684414</v>
      </c>
      <c r="EQ61" s="23">
        <f t="shared" si="87"/>
        <v>2234717.0939654945</v>
      </c>
    </row>
    <row r="62" spans="2:147" x14ac:dyDescent="0.45">
      <c r="B62" t="s">
        <v>29</v>
      </c>
      <c r="C62" s="11">
        <f t="shared" ref="C62:P62" si="88">C61/C63</f>
        <v>-12.013888888888889</v>
      </c>
      <c r="D62" s="11">
        <f t="shared" si="88"/>
        <v>-11.748844375963021</v>
      </c>
      <c r="E62" s="11">
        <f t="shared" si="88"/>
        <v>-9.9445300462249619</v>
      </c>
      <c r="F62" s="11">
        <f t="shared" si="88"/>
        <v>-9.014195583596214</v>
      </c>
      <c r="G62" s="11">
        <f t="shared" si="88"/>
        <v>-6.1748031496062996</v>
      </c>
      <c r="H62" s="11">
        <f t="shared" si="88"/>
        <v>-2.6419558359621451</v>
      </c>
      <c r="I62" s="11">
        <f t="shared" si="88"/>
        <v>-5.6529968454258679</v>
      </c>
      <c r="J62" s="11">
        <f t="shared" si="88"/>
        <v>-4.5937007874015752</v>
      </c>
      <c r="K62" s="11">
        <f t="shared" si="88"/>
        <v>-3.4913385826771655</v>
      </c>
      <c r="L62" s="11">
        <f t="shared" si="88"/>
        <v>-8.6556603773584904</v>
      </c>
      <c r="M62" s="11">
        <f t="shared" si="88"/>
        <v>-2.3195954076734848</v>
      </c>
      <c r="N62" s="11">
        <f t="shared" si="88"/>
        <v>-0.28199087759221136</v>
      </c>
      <c r="O62" s="11">
        <f t="shared" si="88"/>
        <v>3.1017640004211144</v>
      </c>
      <c r="P62" s="11">
        <f t="shared" si="88"/>
        <v>0.72850477316313345</v>
      </c>
      <c r="T62" s="5">
        <f t="shared" ref="T62:Y62" si="89">T61/T63</f>
        <v>-28.115702479338843</v>
      </c>
      <c r="U62" s="5">
        <f t="shared" si="89"/>
        <v>-36.924499229583972</v>
      </c>
      <c r="V62" s="5">
        <f t="shared" si="89"/>
        <v>-28.022453517843463</v>
      </c>
      <c r="W62" s="5">
        <f t="shared" si="89"/>
        <v>-48.735015772870661</v>
      </c>
      <c r="X62" s="5">
        <f t="shared" si="89"/>
        <v>-22.398425196850393</v>
      </c>
      <c r="Y62" s="5">
        <f t="shared" si="89"/>
        <v>1.2306174213710219</v>
      </c>
      <c r="Z62" s="5">
        <f t="shared" ref="Z62:AJ62" si="90">Z61/Z63</f>
        <v>6.0655354886700836</v>
      </c>
      <c r="AA62" s="5">
        <f t="shared" si="90"/>
        <v>18.002695927491722</v>
      </c>
      <c r="AB62" s="5">
        <f t="shared" si="90"/>
        <v>33.788027263235946</v>
      </c>
      <c r="AC62" s="5">
        <f t="shared" si="90"/>
        <v>49.179216251644526</v>
      </c>
      <c r="AD62" s="5">
        <f t="shared" si="90"/>
        <v>60.105545772441666</v>
      </c>
      <c r="AE62" s="5">
        <f t="shared" si="90"/>
        <v>66.143286168168927</v>
      </c>
      <c r="AF62" s="5">
        <f t="shared" si="90"/>
        <v>76.518078744268635</v>
      </c>
      <c r="AG62" s="5">
        <f t="shared" si="90"/>
        <v>88.097399675359782</v>
      </c>
      <c r="AH62" s="5">
        <f t="shared" si="90"/>
        <v>101.07089294954072</v>
      </c>
      <c r="AI62" s="5">
        <f t="shared" si="90"/>
        <v>115.66927718380576</v>
      </c>
      <c r="AJ62" s="5">
        <f t="shared" si="90"/>
        <v>132.28691344020817</v>
      </c>
    </row>
    <row r="63" spans="2:147" x14ac:dyDescent="0.45">
      <c r="B63" t="s">
        <v>6</v>
      </c>
      <c r="C63" s="3">
        <v>648</v>
      </c>
      <c r="D63" s="3">
        <v>649</v>
      </c>
      <c r="E63" s="3">
        <v>649</v>
      </c>
      <c r="F63" s="3">
        <v>634</v>
      </c>
      <c r="G63" s="3">
        <v>635</v>
      </c>
      <c r="H63" s="3">
        <v>634</v>
      </c>
      <c r="I63" s="3">
        <v>634</v>
      </c>
      <c r="J63" s="3">
        <v>635</v>
      </c>
      <c r="K63" s="3">
        <v>635</v>
      </c>
      <c r="L63" s="3">
        <v>636</v>
      </c>
      <c r="M63" s="3">
        <f t="shared" ref="M63:P63" si="91">L63</f>
        <v>636</v>
      </c>
      <c r="N63" s="3">
        <f t="shared" si="91"/>
        <v>636</v>
      </c>
      <c r="O63" s="3">
        <f t="shared" si="91"/>
        <v>636</v>
      </c>
      <c r="P63" s="3">
        <f t="shared" si="91"/>
        <v>636</v>
      </c>
      <c r="T63" s="3">
        <v>605</v>
      </c>
      <c r="U63" s="3">
        <v>649</v>
      </c>
      <c r="V63" s="3">
        <f>H63</f>
        <v>634</v>
      </c>
      <c r="W63" s="3">
        <f>I63</f>
        <v>634</v>
      </c>
      <c r="X63" s="3">
        <f>K63</f>
        <v>635</v>
      </c>
      <c r="Y63" s="3">
        <f>X63</f>
        <v>635</v>
      </c>
      <c r="Z63" s="3">
        <f>Y63</f>
        <v>635</v>
      </c>
      <c r="AA63" s="3">
        <f t="shared" ref="AA63:AJ63" si="92">Z63</f>
        <v>635</v>
      </c>
      <c r="AB63" s="3">
        <f t="shared" si="92"/>
        <v>635</v>
      </c>
      <c r="AC63" s="3">
        <f t="shared" si="92"/>
        <v>635</v>
      </c>
      <c r="AD63" s="3">
        <f t="shared" si="92"/>
        <v>635</v>
      </c>
      <c r="AE63" s="3">
        <f t="shared" si="92"/>
        <v>635</v>
      </c>
      <c r="AF63" s="3">
        <f t="shared" si="92"/>
        <v>635</v>
      </c>
      <c r="AG63" s="3">
        <f t="shared" si="92"/>
        <v>635</v>
      </c>
      <c r="AH63" s="3">
        <f t="shared" si="92"/>
        <v>635</v>
      </c>
      <c r="AI63" s="3">
        <f t="shared" si="92"/>
        <v>635</v>
      </c>
      <c r="AJ63" s="3">
        <f t="shared" si="92"/>
        <v>635</v>
      </c>
    </row>
    <row r="64" spans="2:147" x14ac:dyDescent="0.45">
      <c r="L64"/>
    </row>
    <row r="65" spans="2:45" x14ac:dyDescent="0.45">
      <c r="B65" t="s">
        <v>37</v>
      </c>
      <c r="G65" s="16">
        <f t="shared" ref="G65:P65" si="93">G45/C45-1</f>
        <v>0.39572192513368987</v>
      </c>
      <c r="H65" s="16">
        <f t="shared" si="93"/>
        <v>0.49514680902693531</v>
      </c>
      <c r="I65" s="16">
        <f t="shared" si="93"/>
        <v>0.38313875168387956</v>
      </c>
      <c r="J65" s="16">
        <f t="shared" si="93"/>
        <v>0.32225864123957093</v>
      </c>
      <c r="K65" s="16">
        <f t="shared" si="93"/>
        <v>0.40131763386599384</v>
      </c>
      <c r="L65" s="16">
        <f t="shared" si="93"/>
        <v>-2.6698044307392643E-2</v>
      </c>
      <c r="M65" s="16">
        <f t="shared" si="93"/>
        <v>6.7097185547033922E-2</v>
      </c>
      <c r="N65" s="16">
        <f t="shared" si="93"/>
        <v>7.5778283186631379E-2</v>
      </c>
      <c r="O65" s="16">
        <f t="shared" si="93"/>
        <v>0.10974816167396462</v>
      </c>
      <c r="P65" s="16">
        <f t="shared" si="93"/>
        <v>0.17237755804081489</v>
      </c>
      <c r="U65" s="16">
        <f t="shared" ref="U65:AJ65" si="94">U45/T45-1</f>
        <v>0.65190786996359984</v>
      </c>
      <c r="V65" s="16">
        <f t="shared" si="94"/>
        <v>0.59565374313773911</v>
      </c>
      <c r="W65" s="16">
        <f t="shared" si="94"/>
        <v>5.4416666666666558E-2</v>
      </c>
      <c r="X65" s="16">
        <f>X45/V45-1</f>
        <v>0.25319047619047619</v>
      </c>
      <c r="Y65" s="16">
        <f t="shared" si="94"/>
        <v>5.719749225919557E-2</v>
      </c>
      <c r="Z65" s="16">
        <f t="shared" si="94"/>
        <v>0.14982636511976777</v>
      </c>
      <c r="AA65" s="16">
        <f t="shared" si="94"/>
        <v>0.17272930574708245</v>
      </c>
      <c r="AB65" s="16">
        <f t="shared" si="94"/>
        <v>0.16180766711218353</v>
      </c>
      <c r="AC65" s="16">
        <f t="shared" si="94"/>
        <v>0.12846088139864964</v>
      </c>
      <c r="AD65" s="16">
        <f t="shared" si="94"/>
        <v>8.3667523697904755E-2</v>
      </c>
      <c r="AE65" s="16">
        <f t="shared" si="94"/>
        <v>4.4834150219830393E-2</v>
      </c>
      <c r="AF65" s="16">
        <f t="shared" si="94"/>
        <v>7.3831465157887965E-2</v>
      </c>
      <c r="AG65" s="16">
        <f t="shared" si="94"/>
        <v>8.0348230265717913E-2</v>
      </c>
      <c r="AH65" s="16">
        <f t="shared" si="94"/>
        <v>8.6974550623603042E-2</v>
      </c>
      <c r="AI65" s="16">
        <f t="shared" si="94"/>
        <v>9.3740573133035632E-2</v>
      </c>
      <c r="AJ65" s="16">
        <f t="shared" si="94"/>
        <v>0.10126488289572744</v>
      </c>
    </row>
    <row r="66" spans="2:45" x14ac:dyDescent="0.45">
      <c r="B66" t="s">
        <v>38</v>
      </c>
      <c r="C66" s="16">
        <f t="shared" ref="C66:K66" si="95">C49/C45</f>
        <v>0.40446067562279903</v>
      </c>
      <c r="D66" s="16">
        <f t="shared" si="95"/>
        <v>0.43866779907789372</v>
      </c>
      <c r="E66" s="16">
        <f t="shared" si="95"/>
        <v>0.5195330040413112</v>
      </c>
      <c r="F66" s="16">
        <f t="shared" si="95"/>
        <v>0.54380214541120386</v>
      </c>
      <c r="G66" s="16">
        <f t="shared" si="95"/>
        <v>0.5754135127558172</v>
      </c>
      <c r="H66" s="16">
        <f t="shared" si="95"/>
        <v>0.60711677351294324</v>
      </c>
      <c r="I66" s="16">
        <f t="shared" si="95"/>
        <v>0.62600438276113957</v>
      </c>
      <c r="J66" s="16">
        <f t="shared" si="95"/>
        <v>0.63492957746478873</v>
      </c>
      <c r="K66" s="16">
        <f t="shared" si="95"/>
        <v>0.61568470541162346</v>
      </c>
      <c r="L66" s="16">
        <f t="shared" ref="L66" si="96">L49/L45</f>
        <v>0.63435884608971149</v>
      </c>
      <c r="M66" s="28">
        <v>0.6</v>
      </c>
      <c r="N66" s="28">
        <v>0.6</v>
      </c>
      <c r="O66" s="28">
        <v>0.6</v>
      </c>
      <c r="P66" s="28">
        <v>0.6</v>
      </c>
      <c r="T66" s="16">
        <f t="shared" ref="T66:Y66" si="97">T49/T45</f>
        <v>0.28875360863562194</v>
      </c>
      <c r="U66" s="16">
        <f t="shared" si="97"/>
        <v>0.38193112094675458</v>
      </c>
      <c r="V66" s="16">
        <f t="shared" si="97"/>
        <v>0.56528571428571428</v>
      </c>
      <c r="W66" s="16">
        <f t="shared" si="97"/>
        <v>0.55704463086111711</v>
      </c>
      <c r="X66" s="16">
        <f t="shared" si="97"/>
        <v>0.62709465364593231</v>
      </c>
      <c r="Y66" s="16">
        <f t="shared" si="97"/>
        <v>0.62725006255769489</v>
      </c>
      <c r="Z66" s="20">
        <v>0.6</v>
      </c>
    </row>
    <row r="67" spans="2:45" x14ac:dyDescent="0.45">
      <c r="B67" t="s">
        <v>123</v>
      </c>
      <c r="C67" s="16"/>
      <c r="D67" s="16"/>
      <c r="E67" s="16"/>
      <c r="F67" s="16"/>
      <c r="G67" s="16">
        <f t="shared" ref="G67:L67" si="98">G53/C53-1</f>
        <v>-0.56800000000000006</v>
      </c>
      <c r="H67" s="16">
        <f t="shared" si="98"/>
        <v>1.4285714285714235E-2</v>
      </c>
      <c r="I67" s="16">
        <f t="shared" si="98"/>
        <v>0.21818181818181825</v>
      </c>
      <c r="J67" s="16">
        <f t="shared" si="98"/>
        <v>0.320754716981132</v>
      </c>
      <c r="K67" s="16">
        <f t="shared" si="98"/>
        <v>0</v>
      </c>
      <c r="L67" s="16">
        <f t="shared" si="98"/>
        <v>-0.26760563380281688</v>
      </c>
      <c r="M67" s="28">
        <v>0.05</v>
      </c>
      <c r="N67" s="28">
        <v>0.05</v>
      </c>
      <c r="O67" s="28">
        <v>0.05</v>
      </c>
      <c r="P67" s="28">
        <v>0.05</v>
      </c>
      <c r="T67" s="16"/>
      <c r="U67" s="16">
        <f>U53/T53-1</f>
        <v>0.13218390804597702</v>
      </c>
      <c r="V67" s="16">
        <f t="shared" ref="V67:Y67" si="99">V53/U53-1</f>
        <v>-0.40862944162436543</v>
      </c>
      <c r="W67" s="16">
        <f t="shared" si="99"/>
        <v>4.2918454935622297E-2</v>
      </c>
      <c r="X67" s="16">
        <f>X53/V53-1</f>
        <v>4.2918454935622297E-2</v>
      </c>
      <c r="Y67" s="16">
        <f t="shared" si="99"/>
        <v>-0.26760563380281699</v>
      </c>
      <c r="Z67" s="20">
        <v>0.05</v>
      </c>
    </row>
    <row r="68" spans="2:45" x14ac:dyDescent="0.45">
      <c r="B68" t="s">
        <v>124</v>
      </c>
      <c r="C68" s="9">
        <f t="shared" ref="C68:K68" si="100">C52/C45</f>
        <v>3.971566453632451E-2</v>
      </c>
      <c r="D68" s="9">
        <f t="shared" si="100"/>
        <v>5.7692307692307696E-2</v>
      </c>
      <c r="E68" s="9">
        <f t="shared" si="100"/>
        <v>5.455770094297261E-2</v>
      </c>
      <c r="F68" s="9">
        <f t="shared" si="100"/>
        <v>5.1797775129121967E-2</v>
      </c>
      <c r="G68" s="9">
        <f t="shared" si="100"/>
        <v>5.7938510419586954E-2</v>
      </c>
      <c r="H68" s="9">
        <f t="shared" si="100"/>
        <v>6.4838107603667941E-2</v>
      </c>
      <c r="I68" s="9">
        <f t="shared" si="100"/>
        <v>6.4564564564564567E-2</v>
      </c>
      <c r="J68" s="9">
        <f t="shared" si="100"/>
        <v>6.7643192488262907E-2</v>
      </c>
      <c r="K68" s="9">
        <f t="shared" si="100"/>
        <v>6.6986762695475308E-2</v>
      </c>
      <c r="L68" s="9">
        <f t="shared" ref="L68" si="101">L52/L45</f>
        <v>8.1540770385192599E-2</v>
      </c>
      <c r="M68" s="28">
        <v>7.0000000000000007E-2</v>
      </c>
      <c r="N68" s="28">
        <v>7.0000000000000007E-2</v>
      </c>
      <c r="O68" s="28">
        <v>7.0000000000000007E-2</v>
      </c>
      <c r="P68" s="28">
        <v>7.0000000000000007E-2</v>
      </c>
      <c r="T68" s="9">
        <f t="shared" ref="T68:Y68" si="102">T52/T45</f>
        <v>5.6012300740554785E-2</v>
      </c>
      <c r="U68" s="9">
        <f t="shared" si="102"/>
        <v>4.6976806033090818E-2</v>
      </c>
      <c r="V68" s="9">
        <f t="shared" si="102"/>
        <v>5.7773809523809526E-2</v>
      </c>
      <c r="W68" s="9">
        <f t="shared" si="102"/>
        <v>8.3063305145024899E-2</v>
      </c>
      <c r="X68" s="9">
        <f t="shared" si="102"/>
        <v>6.9888285138883607E-2</v>
      </c>
      <c r="Y68" s="9">
        <f t="shared" si="102"/>
        <v>7.1077494012499368E-2</v>
      </c>
      <c r="Z68" s="20">
        <v>6.7000000000000004E-2</v>
      </c>
      <c r="AO68" t="s">
        <v>125</v>
      </c>
      <c r="AP68" s="20">
        <v>0.03</v>
      </c>
      <c r="AS68" s="3"/>
    </row>
    <row r="69" spans="2:45" x14ac:dyDescent="0.45">
      <c r="B69" t="s">
        <v>39</v>
      </c>
      <c r="C69" s="16">
        <f t="shared" ref="C69:K69" si="103">C60/ABS(C59)</f>
        <v>7.2454392547548199E-3</v>
      </c>
      <c r="D69" s="16">
        <f t="shared" si="103"/>
        <v>7.8750492190576187E-4</v>
      </c>
      <c r="E69" s="16">
        <f t="shared" si="103"/>
        <v>7.492975335622854E-3</v>
      </c>
      <c r="F69" s="16">
        <f t="shared" si="103"/>
        <v>2.6032315978456014E-2</v>
      </c>
      <c r="G69" s="16">
        <f t="shared" si="103"/>
        <v>3.9777247414478918E-2</v>
      </c>
      <c r="H69" s="16">
        <f t="shared" si="103"/>
        <v>-4.1617122473246136E-3</v>
      </c>
      <c r="I69" s="16">
        <f t="shared" si="103"/>
        <v>1.2429378531073447E-2</v>
      </c>
      <c r="J69" s="16">
        <f t="shared" si="103"/>
        <v>4.5519713261648748E-2</v>
      </c>
      <c r="K69" s="16">
        <f t="shared" si="103"/>
        <v>3.167420814479638E-3</v>
      </c>
      <c r="L69" s="16">
        <f t="shared" ref="L69" si="104">L60/ABS(L59)</f>
        <v>2.6286353467561523E-2</v>
      </c>
      <c r="M69" s="28">
        <v>0.02</v>
      </c>
      <c r="N69" s="28">
        <v>0.02</v>
      </c>
      <c r="O69" s="28">
        <v>0.02</v>
      </c>
      <c r="P69" s="28">
        <v>0.02</v>
      </c>
      <c r="T69" s="16">
        <f>T60/ABS(T61)</f>
        <v>1.5873015873015873E-3</v>
      </c>
      <c r="U69" s="16">
        <f>U60/ABS(U61)</f>
        <v>4.7154064429978304E-3</v>
      </c>
      <c r="V69" s="16">
        <f>V60/ABS(V61)</f>
        <v>1.891227882388009E-2</v>
      </c>
      <c r="W69" s="16">
        <f>W60/ABS(W61)</f>
        <v>1.0324292834487669E-2</v>
      </c>
      <c r="X69" s="9">
        <f>X60/ABS(X59)</f>
        <v>2.2943037974683545E-2</v>
      </c>
      <c r="Y69" s="9">
        <f>Y60/ABS(Y59)</f>
        <v>0.12156587144207578</v>
      </c>
      <c r="Z69" s="20">
        <v>0.05</v>
      </c>
      <c r="AA69" s="28">
        <f t="shared" ref="AA69:AI69" si="105">Z69+($AJ$69-$Z$69)/($AJ$1-$Z$1)</f>
        <v>7.017000000000001E-2</v>
      </c>
      <c r="AB69" s="28">
        <f t="shared" si="105"/>
        <v>9.0340000000000004E-2</v>
      </c>
      <c r="AC69" s="28">
        <f t="shared" si="105"/>
        <v>0.11051</v>
      </c>
      <c r="AD69" s="28">
        <f t="shared" si="105"/>
        <v>0.13067999999999999</v>
      </c>
      <c r="AE69" s="28">
        <f t="shared" si="105"/>
        <v>0.15084999999999998</v>
      </c>
      <c r="AF69" s="28">
        <f t="shared" si="105"/>
        <v>0.17101999999999998</v>
      </c>
      <c r="AG69" s="28">
        <f t="shared" si="105"/>
        <v>0.19118999999999997</v>
      </c>
      <c r="AH69" s="28">
        <f t="shared" si="105"/>
        <v>0.21135999999999996</v>
      </c>
      <c r="AI69" s="28">
        <f t="shared" si="105"/>
        <v>0.23152999999999996</v>
      </c>
      <c r="AJ69" s="20">
        <v>0.25169999999999998</v>
      </c>
      <c r="AO69" t="s">
        <v>126</v>
      </c>
      <c r="AP69" s="20">
        <v>0.187</v>
      </c>
      <c r="AR69" s="28"/>
      <c r="AS69" s="4"/>
    </row>
    <row r="70" spans="2:45" x14ac:dyDescent="0.45">
      <c r="L70"/>
      <c r="AO70" t="s">
        <v>127</v>
      </c>
      <c r="AP70" s="20">
        <v>0.01</v>
      </c>
    </row>
    <row r="71" spans="2:45" x14ac:dyDescent="0.45">
      <c r="B71" s="2" t="s">
        <v>77</v>
      </c>
      <c r="L71"/>
      <c r="AO71" t="s">
        <v>128</v>
      </c>
      <c r="AP71" s="4">
        <f>NPV(Rate,X61:EQ61)+Main!G8-Main!G7</f>
        <v>210133.14637868071</v>
      </c>
    </row>
    <row r="72" spans="2:45" x14ac:dyDescent="0.45">
      <c r="B72" t="s">
        <v>79</v>
      </c>
      <c r="K72" s="3">
        <f>K73-K83-K84-K85-K86-K87-K91-K92</f>
        <v>27047</v>
      </c>
      <c r="L72" s="3">
        <f>L73-L83-L84-L85-L86-L87-L91-L92</f>
        <v>21361</v>
      </c>
      <c r="M72" s="3">
        <f>L72+M61</f>
        <v>19885.737320719665</v>
      </c>
      <c r="N72" s="3">
        <f>M72+N61</f>
        <v>19706.391122571018</v>
      </c>
      <c r="O72" s="3">
        <f>N72+O61</f>
        <v>21679.113026838848</v>
      </c>
      <c r="P72" s="3">
        <f>O72+P61</f>
        <v>22142.442062570601</v>
      </c>
      <c r="V72" s="3"/>
      <c r="W72" s="3"/>
      <c r="X72" s="3">
        <f>L72</f>
        <v>21361</v>
      </c>
      <c r="Y72" s="3">
        <f t="shared" ref="Y72:AH72" si="106">M72+Y61</f>
        <v>20667.179383290262</v>
      </c>
      <c r="Z72" s="3">
        <f t="shared" si="106"/>
        <v>23558.00615787652</v>
      </c>
      <c r="AA72" s="3">
        <f t="shared" si="106"/>
        <v>33110.82494079609</v>
      </c>
      <c r="AB72" s="3">
        <f t="shared" si="106"/>
        <v>43597.83937472543</v>
      </c>
      <c r="AC72" s="3">
        <f t="shared" si="106"/>
        <v>31228.802319794275</v>
      </c>
      <c r="AD72" s="3">
        <f t="shared" si="106"/>
        <v>38167.021565500458</v>
      </c>
      <c r="AE72" s="3">
        <f t="shared" si="106"/>
        <v>42000.986716787273</v>
      </c>
      <c r="AF72" s="3">
        <f t="shared" si="106"/>
        <v>48588.98000261058</v>
      </c>
      <c r="AG72" s="3">
        <f t="shared" si="106"/>
        <v>55941.84879385346</v>
      </c>
      <c r="AH72" s="3">
        <f t="shared" si="106"/>
        <v>64180.01702295836</v>
      </c>
      <c r="AI72" s="3">
        <f t="shared" ref="AI72:AJ72" si="107">X72+AI61</f>
        <v>94810.991011716658</v>
      </c>
      <c r="AJ72" s="3">
        <f t="shared" si="107"/>
        <v>104669.36941782245</v>
      </c>
      <c r="AO72" s="2" t="s">
        <v>5</v>
      </c>
      <c r="AP72" s="30">
        <f>AP71/Main!G5*1000</f>
        <v>325.38749481551531</v>
      </c>
    </row>
    <row r="73" spans="2:45" x14ac:dyDescent="0.45">
      <c r="B73" t="s">
        <v>1</v>
      </c>
      <c r="K73" s="3">
        <f>33120+37275</f>
        <v>70395</v>
      </c>
      <c r="L73" s="3">
        <f>42772+9690</f>
        <v>52462</v>
      </c>
      <c r="V73" s="3"/>
      <c r="W73" s="3"/>
      <c r="AO73" t="s">
        <v>129</v>
      </c>
      <c r="AP73" s="9">
        <f>AP72/Main!G4-1</f>
        <v>-0.15252638412419506</v>
      </c>
    </row>
    <row r="74" spans="2:45" x14ac:dyDescent="0.45">
      <c r="B74" t="s">
        <v>80</v>
      </c>
      <c r="K74" s="3">
        <v>11206</v>
      </c>
      <c r="L74" s="3">
        <v>23340</v>
      </c>
      <c r="V74" s="3"/>
      <c r="W74" s="3"/>
    </row>
    <row r="75" spans="2:45" x14ac:dyDescent="0.45">
      <c r="B75" t="s">
        <v>81</v>
      </c>
      <c r="K75" s="3">
        <v>12528</v>
      </c>
      <c r="L75" s="3">
        <v>16507</v>
      </c>
      <c r="V75" s="3"/>
      <c r="W75" s="3"/>
    </row>
    <row r="76" spans="2:45" x14ac:dyDescent="0.45">
      <c r="B76" t="s">
        <v>82</v>
      </c>
      <c r="K76" s="3">
        <v>57</v>
      </c>
      <c r="L76" s="3">
        <v>51</v>
      </c>
      <c r="V76" s="3"/>
      <c r="W76" s="3"/>
    </row>
    <row r="77" spans="2:45" x14ac:dyDescent="0.45">
      <c r="B77" t="s">
        <v>14</v>
      </c>
      <c r="K77" s="3">
        <f>33427+12278</f>
        <v>45705</v>
      </c>
      <c r="L77" s="3">
        <f>20564+8713</f>
        <v>29277</v>
      </c>
      <c r="V77" s="3"/>
      <c r="W77" s="3"/>
    </row>
    <row r="78" spans="2:45" x14ac:dyDescent="0.45">
      <c r="B78" t="s">
        <v>83</v>
      </c>
      <c r="K78" s="7">
        <f>SUM(K73:K77)</f>
        <v>139891</v>
      </c>
      <c r="L78" s="7">
        <f>SUM(L73:L77)</f>
        <v>121637</v>
      </c>
      <c r="V78" s="7"/>
      <c r="W78" s="7"/>
    </row>
    <row r="79" spans="2:45" x14ac:dyDescent="0.45">
      <c r="B79" t="s">
        <v>84</v>
      </c>
      <c r="K79" s="3">
        <v>8293</v>
      </c>
      <c r="L79" s="3">
        <v>9309</v>
      </c>
      <c r="V79" s="3"/>
      <c r="W79" s="3"/>
    </row>
    <row r="80" spans="2:45" x14ac:dyDescent="0.45">
      <c r="B80" t="s">
        <v>82</v>
      </c>
      <c r="K80" s="3">
        <v>1237</v>
      </c>
      <c r="L80" s="3">
        <v>3173</v>
      </c>
      <c r="V80" s="3"/>
      <c r="W80" s="3"/>
    </row>
    <row r="81" spans="2:23" x14ac:dyDescent="0.45">
      <c r="B81" t="s">
        <v>85</v>
      </c>
      <c r="K81" s="7">
        <v>39767</v>
      </c>
      <c r="L81" s="7">
        <v>49754</v>
      </c>
      <c r="V81" s="7"/>
      <c r="W81" s="7"/>
    </row>
    <row r="82" spans="2:23" x14ac:dyDescent="0.45">
      <c r="B82" t="s">
        <v>78</v>
      </c>
      <c r="K82" s="7">
        <f>K78+K81</f>
        <v>179658</v>
      </c>
      <c r="L82" s="7">
        <f>L78+L81</f>
        <v>171391</v>
      </c>
      <c r="V82" s="7"/>
      <c r="W82" s="7"/>
    </row>
    <row r="83" spans="2:23" x14ac:dyDescent="0.45">
      <c r="B83" t="s">
        <v>86</v>
      </c>
      <c r="K83" s="3">
        <v>20</v>
      </c>
      <c r="L83" s="3">
        <v>0</v>
      </c>
      <c r="V83" s="3"/>
      <c r="W83" s="3"/>
    </row>
    <row r="84" spans="2:23" x14ac:dyDescent="0.45">
      <c r="B84" t="s">
        <v>87</v>
      </c>
      <c r="K84" s="3">
        <v>337</v>
      </c>
      <c r="L84" s="3">
        <v>317</v>
      </c>
      <c r="V84" s="3"/>
      <c r="W84" s="3"/>
    </row>
    <row r="85" spans="2:23" x14ac:dyDescent="0.45">
      <c r="B85" t="s">
        <v>88</v>
      </c>
      <c r="K85" s="3">
        <f>417+8172</f>
        <v>8589</v>
      </c>
      <c r="L85" s="3">
        <f>313+6529</f>
        <v>6842</v>
      </c>
      <c r="V85" s="3"/>
      <c r="W85" s="3"/>
    </row>
    <row r="86" spans="2:23" x14ac:dyDescent="0.45">
      <c r="B86" t="s">
        <v>96</v>
      </c>
      <c r="K86" s="3">
        <v>27586</v>
      </c>
      <c r="L86" s="3">
        <v>19351</v>
      </c>
      <c r="V86" s="3"/>
      <c r="W86" s="3"/>
    </row>
    <row r="87" spans="2:23" x14ac:dyDescent="0.45">
      <c r="B87" t="s">
        <v>91</v>
      </c>
      <c r="K87" s="3">
        <v>2573</v>
      </c>
      <c r="L87" s="3">
        <v>2624</v>
      </c>
      <c r="V87" s="3"/>
      <c r="W87" s="3"/>
    </row>
    <row r="88" spans="2:23" x14ac:dyDescent="0.45">
      <c r="B88" t="s">
        <v>97</v>
      </c>
      <c r="K88" s="3">
        <v>4189</v>
      </c>
      <c r="L88" s="3">
        <v>3207</v>
      </c>
      <c r="V88" s="3"/>
      <c r="W88" s="3"/>
    </row>
    <row r="89" spans="2:23" x14ac:dyDescent="0.45">
      <c r="B89" t="s">
        <v>98</v>
      </c>
      <c r="K89" s="3">
        <v>1575</v>
      </c>
      <c r="L89" s="3">
        <f>2713+99</f>
        <v>2812</v>
      </c>
      <c r="V89" s="3"/>
      <c r="W89" s="3"/>
    </row>
    <row r="90" spans="2:23" x14ac:dyDescent="0.45">
      <c r="B90" t="s">
        <v>89</v>
      </c>
      <c r="K90" s="7">
        <f>SUM(K83:K89)</f>
        <v>44869</v>
      </c>
      <c r="L90" s="7">
        <f>SUM(L83:L89)</f>
        <v>35153</v>
      </c>
      <c r="V90" s="7"/>
      <c r="W90" s="7"/>
    </row>
    <row r="91" spans="2:23" x14ac:dyDescent="0.45">
      <c r="B91" t="s">
        <v>90</v>
      </c>
      <c r="K91" s="3">
        <v>1876</v>
      </c>
      <c r="L91" s="3">
        <v>1449</v>
      </c>
      <c r="V91" s="3"/>
      <c r="W91" s="3"/>
    </row>
    <row r="92" spans="2:23" x14ac:dyDescent="0.45">
      <c r="B92" t="s">
        <v>91</v>
      </c>
      <c r="K92" s="3">
        <v>2367</v>
      </c>
      <c r="L92" s="3">
        <v>518</v>
      </c>
      <c r="V92" s="3"/>
      <c r="W92" s="3"/>
    </row>
    <row r="93" spans="2:23" x14ac:dyDescent="0.45">
      <c r="B93" t="s">
        <v>92</v>
      </c>
      <c r="K93" s="7">
        <v>4860</v>
      </c>
      <c r="L93" s="7">
        <v>3254</v>
      </c>
      <c r="V93" s="7"/>
      <c r="W93" s="7"/>
    </row>
    <row r="94" spans="2:23" x14ac:dyDescent="0.45">
      <c r="B94" t="s">
        <v>94</v>
      </c>
      <c r="K94" s="7">
        <f>K93+K90</f>
        <v>49729</v>
      </c>
      <c r="L94" s="7">
        <f>L93+L90</f>
        <v>38407</v>
      </c>
      <c r="V94" s="7"/>
      <c r="W94" s="7"/>
    </row>
    <row r="95" spans="2:23" x14ac:dyDescent="0.45">
      <c r="B95" t="s">
        <v>93</v>
      </c>
      <c r="K95" s="3">
        <v>129929</v>
      </c>
      <c r="L95" s="3">
        <v>132984</v>
      </c>
      <c r="V95" s="3"/>
      <c r="W95" s="3"/>
    </row>
    <row r="96" spans="2:23" x14ac:dyDescent="0.45">
      <c r="B96" t="s">
        <v>95</v>
      </c>
      <c r="K96" s="7">
        <f>K95+K94</f>
        <v>179658</v>
      </c>
      <c r="L96" s="7">
        <f>L95+L94</f>
        <v>171391</v>
      </c>
      <c r="V96" s="7"/>
      <c r="W96" s="7"/>
    </row>
    <row r="102" spans="3:23" x14ac:dyDescent="0.45">
      <c r="C102" s="9"/>
      <c r="D102" s="9"/>
      <c r="E102" s="9"/>
      <c r="F102" s="9"/>
      <c r="G102" s="9"/>
      <c r="H102" s="9"/>
      <c r="I102" s="9"/>
      <c r="J102" s="9"/>
      <c r="K102" s="9"/>
      <c r="L102" s="25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</sheetData>
  <conditionalFormatting sqref="AP7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526-5FA9-446D-941B-489038338EAF}">
  <dimension ref="B1:AI58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I3" sqref="AI3"/>
    </sheetView>
  </sheetViews>
  <sheetFormatPr defaultRowHeight="14.25" x14ac:dyDescent="0.45"/>
  <cols>
    <col min="2" max="2" width="25" bestFit="1" customWidth="1"/>
    <col min="16" max="16" width="10.1328125" bestFit="1" customWidth="1"/>
    <col min="22" max="24" width="10.3984375" bestFit="1" customWidth="1"/>
    <col min="25" max="25" width="11.59765625" bestFit="1" customWidth="1"/>
    <col min="26" max="35" width="10.3984375" bestFit="1" customWidth="1"/>
  </cols>
  <sheetData>
    <row r="1" spans="2:35" x14ac:dyDescent="0.45">
      <c r="C1" s="13">
        <v>44561</v>
      </c>
      <c r="D1" s="13">
        <v>44651</v>
      </c>
      <c r="E1" s="13">
        <v>44742</v>
      </c>
      <c r="F1" s="13">
        <v>44834</v>
      </c>
      <c r="G1" s="13">
        <v>44926</v>
      </c>
      <c r="H1" s="13">
        <v>45016</v>
      </c>
      <c r="I1" s="13">
        <v>45107</v>
      </c>
      <c r="J1" s="13">
        <v>45199</v>
      </c>
      <c r="K1" s="13">
        <v>45291</v>
      </c>
      <c r="L1" s="13">
        <v>45382</v>
      </c>
      <c r="M1">
        <v>1</v>
      </c>
      <c r="N1">
        <f t="shared" ref="N1:P1" si="0">M1+1</f>
        <v>2</v>
      </c>
      <c r="O1">
        <f t="shared" si="0"/>
        <v>3</v>
      </c>
      <c r="P1">
        <f t="shared" si="0"/>
        <v>4</v>
      </c>
      <c r="Q1" s="13"/>
      <c r="R1" s="13"/>
      <c r="S1" s="13"/>
      <c r="T1" s="13">
        <v>44286</v>
      </c>
      <c r="U1" s="13">
        <v>44651</v>
      </c>
      <c r="V1" s="13">
        <v>45016</v>
      </c>
      <c r="W1" s="32">
        <v>45382</v>
      </c>
      <c r="X1">
        <v>1</v>
      </c>
      <c r="Y1">
        <f t="shared" ref="Y1:AI1" si="1">X1+1</f>
        <v>2</v>
      </c>
      <c r="Z1">
        <f t="shared" si="1"/>
        <v>3</v>
      </c>
      <c r="AA1">
        <f t="shared" si="1"/>
        <v>4</v>
      </c>
      <c r="AB1">
        <f t="shared" si="1"/>
        <v>5</v>
      </c>
      <c r="AC1">
        <f t="shared" si="1"/>
        <v>6</v>
      </c>
      <c r="AD1">
        <f t="shared" si="1"/>
        <v>7</v>
      </c>
      <c r="AE1">
        <f t="shared" si="1"/>
        <v>8</v>
      </c>
      <c r="AF1">
        <f t="shared" si="1"/>
        <v>9</v>
      </c>
      <c r="AG1">
        <f t="shared" si="1"/>
        <v>10</v>
      </c>
      <c r="AH1">
        <f t="shared" si="1"/>
        <v>11</v>
      </c>
      <c r="AI1">
        <f t="shared" si="1"/>
        <v>12</v>
      </c>
    </row>
    <row r="2" spans="2:35" x14ac:dyDescent="0.45">
      <c r="C2" s="31" t="s">
        <v>42</v>
      </c>
      <c r="D2" s="31" t="s">
        <v>41</v>
      </c>
      <c r="E2" s="31" t="s">
        <v>36</v>
      </c>
      <c r="F2" s="31" t="s">
        <v>40</v>
      </c>
      <c r="G2" s="31" t="s">
        <v>33</v>
      </c>
      <c r="H2" s="31" t="s">
        <v>35</v>
      </c>
      <c r="I2" s="31" t="s">
        <v>34</v>
      </c>
      <c r="J2" s="31" t="s">
        <v>31</v>
      </c>
      <c r="K2" s="31" t="s">
        <v>12</v>
      </c>
      <c r="L2" s="31" t="s">
        <v>99</v>
      </c>
      <c r="M2" s="31" t="s">
        <v>100</v>
      </c>
      <c r="N2" s="31" t="s">
        <v>101</v>
      </c>
      <c r="O2" s="31" t="s">
        <v>102</v>
      </c>
      <c r="P2" s="31" t="s">
        <v>103</v>
      </c>
      <c r="T2" t="s">
        <v>45</v>
      </c>
      <c r="U2" t="s">
        <v>44</v>
      </c>
      <c r="V2" t="s">
        <v>43</v>
      </c>
      <c r="W2" t="s">
        <v>104</v>
      </c>
      <c r="X2" t="s">
        <v>105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</row>
    <row r="3" spans="2:35" x14ac:dyDescent="0.45">
      <c r="B3" s="2" t="s">
        <v>13</v>
      </c>
      <c r="C3" s="7">
        <f>C5+C7+C9+C11+C13+C15</f>
        <v>14561</v>
      </c>
      <c r="D3" s="7">
        <f t="shared" ref="D3:P3" si="2">D5+D7+D9+D11+D13+D15</f>
        <v>15410</v>
      </c>
      <c r="E3" s="7">
        <f t="shared" si="2"/>
        <v>16810</v>
      </c>
      <c r="F3" s="7">
        <f t="shared" si="2"/>
        <v>19140</v>
      </c>
      <c r="G3" s="7">
        <f t="shared" si="2"/>
        <v>20630</v>
      </c>
      <c r="H3" s="7">
        <f t="shared" si="2"/>
        <v>23350</v>
      </c>
      <c r="I3" s="7">
        <f t="shared" si="2"/>
        <v>23420</v>
      </c>
      <c r="J3" s="7">
        <f t="shared" si="2"/>
        <v>25190</v>
      </c>
      <c r="K3" s="7">
        <f t="shared" si="2"/>
        <v>28510</v>
      </c>
      <c r="L3" s="7">
        <f>L5+L7+L9+L11+L15</f>
        <v>22680</v>
      </c>
      <c r="M3" s="7">
        <f t="shared" si="2"/>
        <v>24978.408846250011</v>
      </c>
      <c r="N3" s="7">
        <f t="shared" si="2"/>
        <v>27325.596789844061</v>
      </c>
      <c r="O3" s="7">
        <f t="shared" si="2"/>
        <v>31965.457116763871</v>
      </c>
      <c r="P3" s="7">
        <f t="shared" si="2"/>
        <v>26805.99286228307</v>
      </c>
      <c r="T3" s="7">
        <f>SUM(T5:T15)</f>
        <v>0</v>
      </c>
      <c r="U3" s="7">
        <f>U5+U7+U9+U11+U15+U13</f>
        <v>49742</v>
      </c>
      <c r="V3" s="7">
        <f>V5+V7+V9+V11+V15+V13</f>
        <v>79903</v>
      </c>
      <c r="W3" s="7">
        <f t="shared" ref="W3:X3" si="3">W5+W7+W9+W11+W15+W13</f>
        <v>99800</v>
      </c>
      <c r="X3" s="7">
        <f t="shared" si="3"/>
        <v>111075.45561514101</v>
      </c>
      <c r="Y3" s="7">
        <f t="shared" ref="Y3:AI3" si="4">Y5+Y7+Y9+Y11+Y15+Y13</f>
        <v>127756.43000000001</v>
      </c>
      <c r="Z3" s="7">
        <f t="shared" si="4"/>
        <v>149830.49946634614</v>
      </c>
      <c r="AA3" s="7">
        <f t="shared" si="4"/>
        <v>174016.81351960188</v>
      </c>
      <c r="AB3" s="7">
        <f t="shared" si="4"/>
        <v>196308.83107573239</v>
      </c>
      <c r="AC3" s="7">
        <f t="shared" si="4"/>
        <v>212893.67245500919</v>
      </c>
      <c r="AD3" s="7">
        <f t="shared" si="4"/>
        <v>222383.1983223953</v>
      </c>
      <c r="AE3" s="7">
        <f t="shared" si="4"/>
        <v>238791.91530075099</v>
      </c>
      <c r="AF3" s="7">
        <f t="shared" si="4"/>
        <v>257946.2902135904</v>
      </c>
      <c r="AG3" s="7">
        <f t="shared" si="4"/>
        <v>280349.78424904036</v>
      </c>
      <c r="AH3" s="7">
        <f t="shared" si="4"/>
        <v>306599.99222965783</v>
      </c>
      <c r="AI3" s="7">
        <f t="shared" si="4"/>
        <v>337406.48661781824</v>
      </c>
    </row>
    <row r="4" spans="2:35" x14ac:dyDescent="0.45">
      <c r="B4" s="18" t="s">
        <v>118</v>
      </c>
      <c r="C4" s="7"/>
      <c r="D4" s="7"/>
      <c r="E4" s="7"/>
      <c r="F4" s="7"/>
      <c r="G4" s="19">
        <f>G3/C3-1</f>
        <v>0.41679829682027325</v>
      </c>
      <c r="H4" s="19">
        <f t="shared" ref="H4:L4" si="5">H3/D3-1</f>
        <v>0.51524983776768329</v>
      </c>
      <c r="I4" s="19">
        <f t="shared" si="5"/>
        <v>0.39321832242712662</v>
      </c>
      <c r="J4" s="19">
        <f t="shared" si="5"/>
        <v>0.31609195402298851</v>
      </c>
      <c r="K4" s="19">
        <f t="shared" si="5"/>
        <v>0.3819680077556955</v>
      </c>
      <c r="L4" s="19">
        <f t="shared" si="5"/>
        <v>-2.8693790149892928E-2</v>
      </c>
      <c r="M4" s="19">
        <f>M3/I3-1</f>
        <v>6.6541795313834751E-2</v>
      </c>
      <c r="N4" s="19">
        <f>N3/J3-1</f>
        <v>8.4779547036286651E-2</v>
      </c>
      <c r="O4" s="19">
        <f>O3/K3-1</f>
        <v>0.12120158248908708</v>
      </c>
      <c r="P4" s="19">
        <f>P3/L3-1</f>
        <v>0.18192208387491493</v>
      </c>
      <c r="T4" s="7"/>
      <c r="U4" s="7"/>
      <c r="V4" s="19">
        <f>V3/U3-1</f>
        <v>0.6063487595995336</v>
      </c>
      <c r="W4" s="19">
        <f>W3/V3-1</f>
        <v>0.24901442999637058</v>
      </c>
      <c r="X4" s="19">
        <f>X3/W3-1</f>
        <v>0.11298051718578161</v>
      </c>
      <c r="Y4" s="19">
        <f t="shared" ref="Y4:AI4" si="6">Y3/X3-1</f>
        <v>0.15017696117003521</v>
      </c>
      <c r="Z4" s="19">
        <f t="shared" si="6"/>
        <v>0.17278245381736279</v>
      </c>
      <c r="AA4" s="19">
        <f t="shared" si="6"/>
        <v>0.16142450395213626</v>
      </c>
      <c r="AB4" s="19">
        <f t="shared" si="6"/>
        <v>0.12810266493943967</v>
      </c>
      <c r="AC4" s="19">
        <f t="shared" si="6"/>
        <v>8.4483419764639356E-2</v>
      </c>
      <c r="AD4" s="19">
        <f t="shared" si="6"/>
        <v>4.4574015554133206E-2</v>
      </c>
      <c r="AE4" s="19">
        <f t="shared" si="6"/>
        <v>7.3785776543098036E-2</v>
      </c>
      <c r="AF4" s="19">
        <f t="shared" si="6"/>
        <v>8.0213665897000963E-2</v>
      </c>
      <c r="AG4" s="19">
        <f t="shared" si="6"/>
        <v>8.6853329105446297E-2</v>
      </c>
      <c r="AH4" s="19">
        <f t="shared" si="6"/>
        <v>9.3633772720505881E-2</v>
      </c>
      <c r="AI4" s="19">
        <f t="shared" si="6"/>
        <v>0.10047780550850405</v>
      </c>
    </row>
    <row r="5" spans="2:35" x14ac:dyDescent="0.45">
      <c r="B5" t="s">
        <v>48</v>
      </c>
      <c r="C5" s="3">
        <v>4058</v>
      </c>
      <c r="D5" s="3">
        <v>4690</v>
      </c>
      <c r="E5" s="3">
        <v>5190</v>
      </c>
      <c r="F5" s="3">
        <v>5490</v>
      </c>
      <c r="G5" s="3">
        <v>5130</v>
      </c>
      <c r="H5" s="3">
        <v>5240</v>
      </c>
      <c r="I5" s="3">
        <v>5540</v>
      </c>
      <c r="J5" s="3">
        <v>5790</v>
      </c>
      <c r="K5" s="3">
        <v>5980</v>
      </c>
      <c r="L5" s="3">
        <v>4380</v>
      </c>
      <c r="M5" s="3">
        <f>(M40-M38)*M53</f>
        <v>4554.5310216970693</v>
      </c>
      <c r="N5" s="3">
        <f t="shared" ref="N5:P5" si="7">(N40-N38)*N53</f>
        <v>5212.7873441880965</v>
      </c>
      <c r="O5" s="3">
        <f t="shared" si="7"/>
        <v>5984.1621036040569</v>
      </c>
      <c r="P5" s="3">
        <f t="shared" si="7"/>
        <v>5274.7522360439671</v>
      </c>
      <c r="T5" s="3"/>
      <c r="U5" s="3">
        <v>15286</v>
      </c>
      <c r="V5" s="3">
        <f>SUM(E5:H5)</f>
        <v>21050</v>
      </c>
      <c r="W5" s="3">
        <f>SUM(I5:L5)</f>
        <v>21690</v>
      </c>
      <c r="X5" s="3">
        <f>SUM(M5:P5)</f>
        <v>21026.232705533192</v>
      </c>
      <c r="Y5" s="3">
        <f>(Y40-Y38)*Y53</f>
        <v>28492.5</v>
      </c>
      <c r="Z5" s="3">
        <f t="shared" ref="Z5:AI5" si="8">(Z40-Z38)*Z53</f>
        <v>30483.659062500014</v>
      </c>
      <c r="AA5" s="3">
        <f t="shared" si="8"/>
        <v>36121.706362135905</v>
      </c>
      <c r="AB5" s="3">
        <f t="shared" si="8"/>
        <v>41014.651187429699</v>
      </c>
      <c r="AC5" s="3">
        <f t="shared" si="8"/>
        <v>41115.278495895276</v>
      </c>
      <c r="AD5" s="3">
        <f t="shared" si="8"/>
        <v>35515.145462375738</v>
      </c>
      <c r="AE5" s="3">
        <f t="shared" si="8"/>
        <v>36807.744150841223</v>
      </c>
      <c r="AF5" s="3">
        <f t="shared" si="8"/>
        <v>38141.966190492669</v>
      </c>
      <c r="AG5" s="3">
        <f t="shared" si="8"/>
        <v>39519.311608772005</v>
      </c>
      <c r="AH5" s="3">
        <f t="shared" si="8"/>
        <v>40941.345676588309</v>
      </c>
      <c r="AI5" s="3">
        <f t="shared" si="8"/>
        <v>42409.70237588945</v>
      </c>
    </row>
    <row r="6" spans="2:35" x14ac:dyDescent="0.45">
      <c r="B6" s="8" t="s">
        <v>118</v>
      </c>
      <c r="C6" s="3"/>
      <c r="D6" s="3"/>
      <c r="E6" s="3"/>
      <c r="F6" s="3"/>
      <c r="G6" s="10">
        <f>G5/C5-1</f>
        <v>0.26416954164613116</v>
      </c>
      <c r="H6" s="10">
        <f t="shared" ref="H6:L6" si="9">H5/D5-1</f>
        <v>0.11727078891257992</v>
      </c>
      <c r="I6" s="10">
        <f t="shared" si="9"/>
        <v>6.7437379576107848E-2</v>
      </c>
      <c r="J6" s="10">
        <f t="shared" si="9"/>
        <v>5.464480874316946E-2</v>
      </c>
      <c r="K6" s="10">
        <f t="shared" si="9"/>
        <v>0.165692007797271</v>
      </c>
      <c r="L6" s="10">
        <f t="shared" si="9"/>
        <v>-0.16412213740458015</v>
      </c>
      <c r="M6" s="10">
        <f>M5/I5-1</f>
        <v>-0.17788248705829079</v>
      </c>
      <c r="N6" s="10">
        <f>N5/J5-1</f>
        <v>-9.9691304976149087E-2</v>
      </c>
      <c r="O6" s="10">
        <f>O5/K5-1</f>
        <v>6.960039471666235E-4</v>
      </c>
      <c r="P6" s="10">
        <f>P5/L5-1</f>
        <v>0.20428133243012936</v>
      </c>
      <c r="T6" s="3"/>
      <c r="U6" s="3"/>
      <c r="V6" s="10">
        <f>V5/U5-1</f>
        <v>0.37707706398011243</v>
      </c>
      <c r="W6" s="10">
        <f>W5/V5-1</f>
        <v>3.0403800475059306E-2</v>
      </c>
      <c r="X6" s="10">
        <f>X5/W5-1</f>
        <v>-3.0602457098515834E-2</v>
      </c>
      <c r="Y6" s="10">
        <f t="shared" ref="Y6:AI6" si="10">Y5/X5-1</f>
        <v>0.35509296406207902</v>
      </c>
      <c r="Z6" s="10">
        <f t="shared" si="10"/>
        <v>6.988362068965559E-2</v>
      </c>
      <c r="AA6" s="10">
        <f t="shared" si="10"/>
        <v>0.184953101859469</v>
      </c>
      <c r="AB6" s="10">
        <f t="shared" si="10"/>
        <v>0.13545718954248409</v>
      </c>
      <c r="AC6" s="10">
        <f t="shared" si="10"/>
        <v>2.453447866854308E-3</v>
      </c>
      <c r="AD6" s="10">
        <f t="shared" si="10"/>
        <v>-0.13620564516129019</v>
      </c>
      <c r="AE6" s="10">
        <f t="shared" si="10"/>
        <v>3.6395703062369389E-2</v>
      </c>
      <c r="AF6" s="10">
        <f t="shared" si="10"/>
        <v>3.6248405612245405E-2</v>
      </c>
      <c r="AG6" s="10">
        <f t="shared" si="10"/>
        <v>3.6111022997620257E-2</v>
      </c>
      <c r="AH6" s="10">
        <f t="shared" si="10"/>
        <v>3.5983270202020856E-2</v>
      </c>
      <c r="AI6" s="10">
        <f t="shared" si="10"/>
        <v>3.5864886095837267E-2</v>
      </c>
    </row>
    <row r="7" spans="2:35" x14ac:dyDescent="0.45">
      <c r="B7" t="s">
        <v>49</v>
      </c>
      <c r="C7" s="3">
        <v>5858</v>
      </c>
      <c r="D7" s="3">
        <v>5720</v>
      </c>
      <c r="E7" s="3">
        <v>5570</v>
      </c>
      <c r="F7" s="3">
        <v>6240</v>
      </c>
      <c r="G7" s="3">
        <v>6400</v>
      </c>
      <c r="H7" s="3">
        <v>9180</v>
      </c>
      <c r="I7" s="3">
        <v>8420</v>
      </c>
      <c r="J7" s="3">
        <v>9210</v>
      </c>
      <c r="K7" s="3">
        <v>10810</v>
      </c>
      <c r="L7" s="3">
        <v>11170</v>
      </c>
      <c r="M7" s="3">
        <f>M40*M54</f>
        <v>13442.277824552943</v>
      </c>
      <c r="N7" s="3">
        <f t="shared" ref="N7:P7" si="11">N40*N54</f>
        <v>14415.609445655966</v>
      </c>
      <c r="O7" s="3">
        <f t="shared" si="11"/>
        <v>15812.695013159815</v>
      </c>
      <c r="P7" s="3">
        <f t="shared" si="11"/>
        <v>13994.240626239103</v>
      </c>
      <c r="T7" s="3"/>
      <c r="U7" s="3">
        <v>18919</v>
      </c>
      <c r="V7" s="3">
        <f>SUM(E7:H7)+1</f>
        <v>27391</v>
      </c>
      <c r="W7" s="3">
        <f>SUM(I7:L7)</f>
        <v>39610</v>
      </c>
      <c r="X7" s="3">
        <f>SUM(M7:P7)</f>
        <v>57664.822909607821</v>
      </c>
      <c r="Y7" s="4">
        <f>Y38*Y54</f>
        <v>61242.500000000007</v>
      </c>
      <c r="Z7" s="4">
        <f t="shared" ref="Z7:AI7" si="12">Z38*Z54</f>
        <v>74686.951903846144</v>
      </c>
      <c r="AA7" s="4">
        <f t="shared" si="12"/>
        <v>85413.942582466014</v>
      </c>
      <c r="AB7" s="4">
        <f t="shared" si="12"/>
        <v>93594.08926705271</v>
      </c>
      <c r="AC7" s="4">
        <f t="shared" si="12"/>
        <v>99207.18811267642</v>
      </c>
      <c r="AD7" s="4">
        <f t="shared" si="12"/>
        <v>101471.84417821646</v>
      </c>
      <c r="AE7" s="4">
        <f t="shared" si="12"/>
        <v>101451.34481575621</v>
      </c>
      <c r="AF7" s="4">
        <f t="shared" si="12"/>
        <v>101398.95011872517</v>
      </c>
      <c r="AG7" s="4">
        <f t="shared" si="12"/>
        <v>101313.1443061247</v>
      </c>
      <c r="AH7" s="4">
        <f t="shared" si="12"/>
        <v>101192.34095586606</v>
      </c>
      <c r="AI7" s="4">
        <f t="shared" si="12"/>
        <v>101034.87918961895</v>
      </c>
    </row>
    <row r="8" spans="2:35" x14ac:dyDescent="0.45">
      <c r="B8" s="8" t="s">
        <v>118</v>
      </c>
      <c r="C8" s="3"/>
      <c r="D8" s="3"/>
      <c r="E8" s="3"/>
      <c r="F8" s="3"/>
      <c r="G8" s="10">
        <f>G7/C7-1</f>
        <v>9.2523045407989057E-2</v>
      </c>
      <c r="H8" s="10">
        <f t="shared" ref="H8:L8" si="13">H7/D7-1</f>
        <v>0.60489510489510478</v>
      </c>
      <c r="I8" s="10">
        <f t="shared" si="13"/>
        <v>0.51166965888689409</v>
      </c>
      <c r="J8" s="10">
        <f t="shared" si="13"/>
        <v>0.47596153846153855</v>
      </c>
      <c r="K8" s="10">
        <f t="shared" si="13"/>
        <v>0.68906249999999991</v>
      </c>
      <c r="L8" s="10">
        <f t="shared" si="13"/>
        <v>0.21677559912854028</v>
      </c>
      <c r="M8" s="10">
        <f>M7/I7-1</f>
        <v>0.59647005042196466</v>
      </c>
      <c r="N8" s="10">
        <f>N7/J7-1</f>
        <v>0.56521275197133169</v>
      </c>
      <c r="O8" s="10">
        <f>O7/K7-1</f>
        <v>0.46278399751709665</v>
      </c>
      <c r="P8" s="10">
        <f>P7/L7-1</f>
        <v>0.25284159590323219</v>
      </c>
      <c r="T8" s="3"/>
      <c r="U8" s="3"/>
      <c r="V8" s="10">
        <f>V7/U7-1</f>
        <v>0.4478037951265923</v>
      </c>
      <c r="W8" s="10">
        <f>W7/V7-1</f>
        <v>0.44609543280639619</v>
      </c>
      <c r="X8" s="10">
        <f>X7/W7-1</f>
        <v>0.45581476671567334</v>
      </c>
      <c r="Y8" s="10">
        <f t="shared" ref="Y8:AI8" si="14">Y7/X7-1</f>
        <v>6.2042626854162952E-2</v>
      </c>
      <c r="Z8" s="10">
        <f t="shared" si="14"/>
        <v>0.21952813656931269</v>
      </c>
      <c r="AA8" s="10">
        <f t="shared" si="14"/>
        <v>0.14362603380079109</v>
      </c>
      <c r="AB8" s="10">
        <f t="shared" si="14"/>
        <v>9.5770625231224704E-2</v>
      </c>
      <c r="AC8" s="10">
        <f t="shared" si="14"/>
        <v>5.9972791974157724E-2</v>
      </c>
      <c r="AD8" s="10">
        <f t="shared" si="14"/>
        <v>2.282754010695176E-2</v>
      </c>
      <c r="AE8" s="10">
        <f t="shared" si="14"/>
        <v>-2.0202020202020332E-4</v>
      </c>
      <c r="AF8" s="10">
        <f t="shared" si="14"/>
        <v>-5.1645147855050588E-4</v>
      </c>
      <c r="AG8" s="10">
        <f t="shared" si="14"/>
        <v>-8.4621993127154127E-4</v>
      </c>
      <c r="AH8" s="10">
        <f t="shared" si="14"/>
        <v>-1.1923758865248768E-3</v>
      </c>
      <c r="AI8" s="10">
        <f t="shared" si="14"/>
        <v>-1.5560640732265041E-3</v>
      </c>
    </row>
    <row r="9" spans="2:35" x14ac:dyDescent="0.45">
      <c r="B9" t="s">
        <v>50</v>
      </c>
      <c r="C9" s="3">
        <v>1252</v>
      </c>
      <c r="D9" s="3">
        <v>1680</v>
      </c>
      <c r="E9" s="3">
        <v>2710</v>
      </c>
      <c r="F9" s="3">
        <v>3490</v>
      </c>
      <c r="G9" s="3">
        <v>4460</v>
      </c>
      <c r="H9" s="3">
        <v>4750</v>
      </c>
      <c r="I9" s="3">
        <v>5220</v>
      </c>
      <c r="J9" s="3">
        <v>5710</v>
      </c>
      <c r="K9" s="3">
        <v>6070</v>
      </c>
      <c r="L9" s="3">
        <v>3040</v>
      </c>
      <c r="M9" s="3">
        <f>I9*(1+M10)</f>
        <v>3549.5999999999995</v>
      </c>
      <c r="N9" s="3">
        <f t="shared" ref="N9:P9" si="15">J9*(1+N10)</f>
        <v>4111.2</v>
      </c>
      <c r="O9" s="3">
        <f t="shared" si="15"/>
        <v>4734.6000000000004</v>
      </c>
      <c r="P9" s="3">
        <f t="shared" si="15"/>
        <v>3192</v>
      </c>
      <c r="T9" s="3"/>
      <c r="U9" s="3">
        <v>4372</v>
      </c>
      <c r="V9" s="3">
        <v>15404</v>
      </c>
      <c r="W9" s="3">
        <f>SUM(I9:L9)</f>
        <v>20040</v>
      </c>
      <c r="X9" s="3">
        <f>SUM(M9:P9)</f>
        <v>15587.4</v>
      </c>
      <c r="Y9" s="3">
        <f>X9*(1+Y10)</f>
        <v>18704.879999999997</v>
      </c>
      <c r="Z9" s="3">
        <f t="shared" ref="Z9:AI9" si="16">Y9*(1+Z10)</f>
        <v>22445.855999999996</v>
      </c>
      <c r="AA9" s="3">
        <f t="shared" si="16"/>
        <v>26935.027199999993</v>
      </c>
      <c r="AB9" s="3">
        <f t="shared" si="16"/>
        <v>32322.03263999999</v>
      </c>
      <c r="AC9" s="3">
        <f t="shared" si="16"/>
        <v>38786.43916799999</v>
      </c>
      <c r="AD9" s="3">
        <f t="shared" si="16"/>
        <v>46543.727001599989</v>
      </c>
      <c r="AE9" s="3">
        <f t="shared" si="16"/>
        <v>55852.472401919986</v>
      </c>
      <c r="AF9" s="3">
        <f t="shared" si="16"/>
        <v>67022.966882303983</v>
      </c>
      <c r="AG9" s="3">
        <f t="shared" si="16"/>
        <v>80427.560258764774</v>
      </c>
      <c r="AH9" s="3">
        <f t="shared" si="16"/>
        <v>96513.072310517731</v>
      </c>
      <c r="AI9" s="3">
        <f t="shared" si="16"/>
        <v>115815.68677262128</v>
      </c>
    </row>
    <row r="10" spans="2:35" x14ac:dyDescent="0.45">
      <c r="B10" t="s">
        <v>118</v>
      </c>
      <c r="C10" s="3"/>
      <c r="D10" s="3"/>
      <c r="E10" s="3"/>
      <c r="F10" s="3"/>
      <c r="G10" s="10">
        <f>G9/C9-1</f>
        <v>2.5623003194888181</v>
      </c>
      <c r="H10" s="10">
        <f t="shared" ref="H10:L10" si="17">H9/D9-1</f>
        <v>1.8273809523809526</v>
      </c>
      <c r="I10" s="10">
        <f t="shared" si="17"/>
        <v>0.92619926199261982</v>
      </c>
      <c r="J10" s="10">
        <f t="shared" si="17"/>
        <v>0.63610315186246424</v>
      </c>
      <c r="K10" s="10">
        <f t="shared" si="17"/>
        <v>0.36098654708520184</v>
      </c>
      <c r="L10" s="10">
        <f t="shared" si="17"/>
        <v>-0.36</v>
      </c>
      <c r="M10" s="10">
        <v>-0.32</v>
      </c>
      <c r="N10" s="29">
        <v>-0.28000000000000003</v>
      </c>
      <c r="O10" s="29">
        <v>-0.22</v>
      </c>
      <c r="P10" s="29">
        <v>0.05</v>
      </c>
      <c r="T10" s="3"/>
      <c r="U10" s="3"/>
      <c r="V10" s="10">
        <f>V9/U9-1</f>
        <v>2.5233302836230558</v>
      </c>
      <c r="W10" s="10">
        <f>W9/V9-1</f>
        <v>0.3009607894053492</v>
      </c>
      <c r="X10" s="10">
        <f>X9/W9-1</f>
        <v>-0.22218562874251502</v>
      </c>
      <c r="Y10" s="10">
        <v>0.2</v>
      </c>
      <c r="Z10" s="10">
        <v>0.2</v>
      </c>
      <c r="AA10" s="10">
        <v>0.2</v>
      </c>
      <c r="AB10" s="10">
        <v>0.2</v>
      </c>
      <c r="AC10" s="10">
        <v>0.2</v>
      </c>
      <c r="AD10" s="10">
        <v>0.2</v>
      </c>
      <c r="AE10" s="10">
        <v>0.2</v>
      </c>
      <c r="AF10" s="10">
        <v>0.2</v>
      </c>
      <c r="AG10" s="10">
        <v>0.2</v>
      </c>
      <c r="AH10" s="10">
        <v>0.2</v>
      </c>
      <c r="AI10" s="10">
        <v>0.2</v>
      </c>
    </row>
    <row r="11" spans="2:35" x14ac:dyDescent="0.45">
      <c r="B11" t="s">
        <v>135</v>
      </c>
      <c r="C11" s="3">
        <v>1348</v>
      </c>
      <c r="D11" s="3">
        <v>1030</v>
      </c>
      <c r="E11" s="3">
        <v>1390</v>
      </c>
      <c r="F11" s="3">
        <v>1250</v>
      </c>
      <c r="G11" s="3">
        <v>1850</v>
      </c>
      <c r="H11" s="3">
        <v>1680</v>
      </c>
      <c r="I11" s="3">
        <v>1560</v>
      </c>
      <c r="J11" s="3">
        <v>1630</v>
      </c>
      <c r="K11" s="3">
        <v>2470</v>
      </c>
      <c r="L11" s="3">
        <v>3950</v>
      </c>
      <c r="M11" s="3">
        <f>I11*(1+M12)</f>
        <v>3432.0000000000005</v>
      </c>
      <c r="N11" s="3">
        <f t="shared" ref="N11:P11" si="18">J11*(1+N12)</f>
        <v>3586.0000000000005</v>
      </c>
      <c r="O11" s="3">
        <f t="shared" si="18"/>
        <v>5434</v>
      </c>
      <c r="P11" s="3">
        <f t="shared" si="18"/>
        <v>4345</v>
      </c>
      <c r="T11" s="3"/>
      <c r="U11" s="3">
        <v>3736</v>
      </c>
      <c r="V11" s="3">
        <v>6153</v>
      </c>
      <c r="W11" s="3">
        <f>SUM(I11:L11)</f>
        <v>9610</v>
      </c>
      <c r="X11" s="3">
        <f>SUM(M11:P11)</f>
        <v>16797</v>
      </c>
      <c r="Y11" s="3">
        <f>X11*(1+Y12)</f>
        <v>19316.55</v>
      </c>
      <c r="Z11" s="3">
        <f>Y11*(1+Z12)</f>
        <v>22214.032499999998</v>
      </c>
      <c r="AA11" s="3">
        <f t="shared" ref="AA11:AI11" si="19">Z11*(1+AA12)</f>
        <v>25546.137374999995</v>
      </c>
      <c r="AB11" s="3">
        <f t="shared" si="19"/>
        <v>29378.057981249993</v>
      </c>
      <c r="AC11" s="3">
        <f t="shared" si="19"/>
        <v>33784.766678437489</v>
      </c>
      <c r="AD11" s="3">
        <f t="shared" si="19"/>
        <v>38852.481680203105</v>
      </c>
      <c r="AE11" s="3">
        <f t="shared" si="19"/>
        <v>44680.353932233571</v>
      </c>
      <c r="AF11" s="3">
        <f t="shared" si="19"/>
        <v>51382.407022068604</v>
      </c>
      <c r="AG11" s="3">
        <f t="shared" si="19"/>
        <v>59089.768075378888</v>
      </c>
      <c r="AH11" s="3">
        <f t="shared" si="19"/>
        <v>67953.233286685718</v>
      </c>
      <c r="AI11" s="3">
        <f t="shared" si="19"/>
        <v>78146.218279688575</v>
      </c>
    </row>
    <row r="12" spans="2:35" x14ac:dyDescent="0.45">
      <c r="B12" s="8" t="s">
        <v>118</v>
      </c>
      <c r="C12" s="3"/>
      <c r="D12" s="3"/>
      <c r="E12" s="3"/>
      <c r="F12" s="3"/>
      <c r="G12" s="10">
        <f>G11/C11-1</f>
        <v>0.37240356083086046</v>
      </c>
      <c r="H12" s="10">
        <f t="shared" ref="H12:L12" si="20">H11/D11-1</f>
        <v>0.63106796116504849</v>
      </c>
      <c r="I12" s="10">
        <f t="shared" si="20"/>
        <v>0.1223021582733812</v>
      </c>
      <c r="J12" s="10">
        <f t="shared" si="20"/>
        <v>0.30400000000000005</v>
      </c>
      <c r="K12" s="10">
        <f t="shared" si="20"/>
        <v>0.33513513513513504</v>
      </c>
      <c r="L12" s="10">
        <f t="shared" si="20"/>
        <v>1.3511904761904763</v>
      </c>
      <c r="M12" s="10">
        <v>1.2</v>
      </c>
      <c r="N12" s="10">
        <v>1.2</v>
      </c>
      <c r="O12" s="10">
        <v>1.2</v>
      </c>
      <c r="P12" s="10">
        <v>0.1</v>
      </c>
      <c r="T12" s="3"/>
      <c r="U12" s="3"/>
      <c r="V12" s="10">
        <f>V11/U11-1</f>
        <v>0.64694860813704502</v>
      </c>
      <c r="W12" s="10">
        <f>W11/V11-1</f>
        <v>0.56183975296603283</v>
      </c>
      <c r="X12" s="10">
        <f>X11/W11-1</f>
        <v>0.74786680541103023</v>
      </c>
      <c r="Y12" s="10">
        <v>0.15</v>
      </c>
      <c r="Z12" s="10">
        <v>0.15</v>
      </c>
      <c r="AA12" s="10">
        <v>0.15</v>
      </c>
      <c r="AB12" s="10">
        <v>0.15</v>
      </c>
      <c r="AC12" s="10">
        <v>0.15</v>
      </c>
      <c r="AD12" s="10">
        <v>0.15</v>
      </c>
      <c r="AE12" s="10">
        <v>0.15</v>
      </c>
      <c r="AF12" s="10">
        <v>0.15</v>
      </c>
      <c r="AG12" s="10">
        <v>0.15</v>
      </c>
      <c r="AH12" s="10">
        <v>0.15</v>
      </c>
      <c r="AI12" s="10">
        <v>0.15</v>
      </c>
    </row>
    <row r="13" spans="2:35" x14ac:dyDescent="0.45">
      <c r="B13" t="s">
        <v>51</v>
      </c>
      <c r="C13" s="3">
        <v>2045</v>
      </c>
      <c r="D13" s="3">
        <v>2170</v>
      </c>
      <c r="E13" s="3">
        <v>1930</v>
      </c>
      <c r="F13" s="3">
        <v>2520</v>
      </c>
      <c r="G13" s="3">
        <v>2350</v>
      </c>
      <c r="H13" s="3">
        <v>2250</v>
      </c>
      <c r="I13" s="3">
        <v>2490</v>
      </c>
      <c r="J13" s="3">
        <v>2610</v>
      </c>
      <c r="K13" s="3">
        <v>2670</v>
      </c>
      <c r="L13" s="3" t="s">
        <v>134</v>
      </c>
      <c r="M13" s="3">
        <v>0</v>
      </c>
      <c r="N13" s="3">
        <v>0</v>
      </c>
      <c r="O13" s="3">
        <v>0</v>
      </c>
      <c r="P13" s="3">
        <v>0</v>
      </c>
      <c r="T13" s="3"/>
      <c r="U13" s="3">
        <v>7312</v>
      </c>
      <c r="V13" s="3">
        <v>9046</v>
      </c>
      <c r="W13" s="3">
        <f>SUM(I13:L13)</f>
        <v>7770</v>
      </c>
      <c r="X13" s="3">
        <f>SUM(M13:P13)</f>
        <v>0</v>
      </c>
      <c r="Y13" s="3">
        <f>X13*(1+$Y$14)</f>
        <v>0</v>
      </c>
      <c r="Z13" s="3">
        <f t="shared" ref="Z13:AI13" si="21">Y13*(1+$Y$14)</f>
        <v>0</v>
      </c>
      <c r="AA13" s="3">
        <f t="shared" si="21"/>
        <v>0</v>
      </c>
      <c r="AB13" s="3">
        <f t="shared" si="21"/>
        <v>0</v>
      </c>
      <c r="AC13" s="3">
        <f t="shared" si="21"/>
        <v>0</v>
      </c>
      <c r="AD13" s="3">
        <f t="shared" si="21"/>
        <v>0</v>
      </c>
      <c r="AE13" s="3">
        <f t="shared" si="21"/>
        <v>0</v>
      </c>
      <c r="AF13" s="3">
        <f t="shared" si="21"/>
        <v>0</v>
      </c>
      <c r="AG13" s="3">
        <f t="shared" si="21"/>
        <v>0</v>
      </c>
      <c r="AH13" s="3">
        <f t="shared" si="21"/>
        <v>0</v>
      </c>
      <c r="AI13" s="3">
        <f t="shared" si="21"/>
        <v>0</v>
      </c>
    </row>
    <row r="14" spans="2:35" x14ac:dyDescent="0.45">
      <c r="B14" s="8" t="s">
        <v>118</v>
      </c>
      <c r="C14" s="3"/>
      <c r="D14" s="3"/>
      <c r="E14" s="3"/>
      <c r="F14" s="3"/>
      <c r="G14" s="10">
        <f>G13/C13-1</f>
        <v>0.14914425427872868</v>
      </c>
      <c r="H14" s="10">
        <f>H13/D13-1</f>
        <v>3.6866359447004671E-2</v>
      </c>
      <c r="I14" s="10">
        <f>I13/E13-1</f>
        <v>0.29015544041450769</v>
      </c>
      <c r="J14" s="10">
        <f>J13/F13-1</f>
        <v>3.5714285714285809E-2</v>
      </c>
      <c r="K14" s="10">
        <f>K13/G13-1</f>
        <v>0.13617021276595742</v>
      </c>
      <c r="L14" s="10"/>
      <c r="N14" s="3"/>
      <c r="O14" s="3"/>
      <c r="P14" s="3"/>
      <c r="T14" s="3"/>
      <c r="U14" s="3"/>
      <c r="V14" s="10">
        <f>V13/U13-1</f>
        <v>0.23714442013129111</v>
      </c>
      <c r="W14" s="10">
        <f>W13/V13-1</f>
        <v>-0.14105682069422953</v>
      </c>
      <c r="X14" s="10">
        <f>X13/W13-1</f>
        <v>-1</v>
      </c>
      <c r="Y14" s="21">
        <v>0</v>
      </c>
    </row>
    <row r="15" spans="2:35" x14ac:dyDescent="0.45">
      <c r="B15" t="s">
        <v>14</v>
      </c>
      <c r="C15" s="3">
        <v>0</v>
      </c>
      <c r="D15" s="3">
        <v>120</v>
      </c>
      <c r="E15" s="3">
        <v>20</v>
      </c>
      <c r="F15" s="3">
        <v>150</v>
      </c>
      <c r="G15" s="3">
        <v>440</v>
      </c>
      <c r="H15" s="3">
        <v>250</v>
      </c>
      <c r="I15" s="3">
        <v>190</v>
      </c>
      <c r="J15" s="3">
        <v>240</v>
      </c>
      <c r="K15" s="3">
        <v>510</v>
      </c>
      <c r="L15" s="3">
        <v>140</v>
      </c>
      <c r="M15" s="3">
        <v>0</v>
      </c>
      <c r="N15" s="3">
        <v>0</v>
      </c>
      <c r="O15" s="3">
        <v>0</v>
      </c>
      <c r="P15" s="3">
        <v>0</v>
      </c>
      <c r="T15" s="3"/>
      <c r="U15" s="3">
        <v>117</v>
      </c>
      <c r="V15" s="3">
        <v>859</v>
      </c>
      <c r="W15" s="3">
        <f>SUM(I15:L15)</f>
        <v>1080</v>
      </c>
      <c r="X15" s="3">
        <f>SUM(M15:P15)</f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2:35" x14ac:dyDescent="0.45">
      <c r="C16" s="3"/>
      <c r="D16" s="3"/>
      <c r="E16" s="3"/>
      <c r="F16" s="3"/>
      <c r="G16" s="3"/>
      <c r="H16" s="3"/>
      <c r="I16" s="3"/>
      <c r="J16" s="3"/>
      <c r="K16" s="3"/>
      <c r="L16" s="3"/>
      <c r="T16" s="3"/>
      <c r="U16" s="3"/>
      <c r="V16" s="3"/>
    </row>
    <row r="17" spans="2:35" x14ac:dyDescent="0.45">
      <c r="B17" s="2" t="s">
        <v>56</v>
      </c>
      <c r="C17" s="7">
        <f>C19+C21+C23</f>
        <v>10024</v>
      </c>
      <c r="D17" s="7">
        <f t="shared" ref="D17:L17" si="22">D19+D21+D23</f>
        <v>10020</v>
      </c>
      <c r="E17" s="7">
        <f t="shared" si="22"/>
        <v>9540</v>
      </c>
      <c r="F17" s="7">
        <f t="shared" si="22"/>
        <v>10710</v>
      </c>
      <c r="G17" s="7">
        <f t="shared" si="22"/>
        <v>10150</v>
      </c>
      <c r="H17" s="7">
        <f t="shared" si="22"/>
        <v>10510</v>
      </c>
      <c r="I17" s="7">
        <f t="shared" si="22"/>
        <v>10380</v>
      </c>
      <c r="J17" s="7">
        <f t="shared" si="22"/>
        <v>10930</v>
      </c>
      <c r="K17" s="7">
        <f t="shared" si="22"/>
        <v>13300</v>
      </c>
      <c r="L17" s="7">
        <f t="shared" si="22"/>
        <v>9800</v>
      </c>
      <c r="V17" s="7">
        <f>SUM(V19:V23)</f>
        <v>40910</v>
      </c>
    </row>
    <row r="18" spans="2:35" x14ac:dyDescent="0.45">
      <c r="B18" s="18" t="s">
        <v>118</v>
      </c>
      <c r="C18" s="7"/>
      <c r="D18" s="7"/>
      <c r="E18" s="7"/>
      <c r="F18" s="7"/>
      <c r="G18" s="19">
        <f>G17/C17-1</f>
        <v>1.2569832402234526E-2</v>
      </c>
      <c r="H18" s="19">
        <f t="shared" ref="H18" si="23">H17/D17-1</f>
        <v>4.8902195608782506E-2</v>
      </c>
      <c r="I18" s="19">
        <f t="shared" ref="I18" si="24">I17/E17-1</f>
        <v>8.8050314465408785E-2</v>
      </c>
      <c r="J18" s="19">
        <f t="shared" ref="J18" si="25">J17/F17-1</f>
        <v>2.0541549953314586E-2</v>
      </c>
      <c r="K18" s="19">
        <f t="shared" ref="K18:L18" si="26">K17/G17-1</f>
        <v>0.31034482758620685</v>
      </c>
      <c r="L18" s="19">
        <f t="shared" si="26"/>
        <v>-6.7554709800190293E-2</v>
      </c>
      <c r="T18" s="7"/>
      <c r="U18" s="7"/>
      <c r="V18" s="19"/>
    </row>
    <row r="19" spans="2:35" x14ac:dyDescent="0.45">
      <c r="B19" t="s">
        <v>53</v>
      </c>
      <c r="C19" s="3">
        <v>7831</v>
      </c>
      <c r="D19" s="3">
        <v>7740</v>
      </c>
      <c r="E19" s="3">
        <v>6940</v>
      </c>
      <c r="F19" s="3">
        <v>7460</v>
      </c>
      <c r="G19" s="3">
        <v>7380</v>
      </c>
      <c r="H19" s="3">
        <v>7800</v>
      </c>
      <c r="I19" s="3">
        <v>7670</v>
      </c>
      <c r="J19" s="3">
        <v>8170</v>
      </c>
      <c r="K19" s="3">
        <v>9820</v>
      </c>
      <c r="L19" s="3">
        <v>7150</v>
      </c>
      <c r="V19" s="3">
        <f>SUM(E19:H19)</f>
        <v>29580</v>
      </c>
    </row>
    <row r="20" spans="2:35" x14ac:dyDescent="0.45">
      <c r="B20" s="8" t="s">
        <v>118</v>
      </c>
      <c r="C20" s="3"/>
      <c r="D20" s="3"/>
      <c r="E20" s="3"/>
      <c r="F20" s="3"/>
      <c r="G20" s="10">
        <f>G19/C19-1</f>
        <v>-5.759162303664922E-2</v>
      </c>
      <c r="H20" s="10">
        <f t="shared" ref="H20:L20" si="27">H19/D19-1</f>
        <v>7.7519379844961378E-3</v>
      </c>
      <c r="I20" s="10">
        <f t="shared" si="27"/>
        <v>0.10518731988472618</v>
      </c>
      <c r="J20" s="10">
        <f t="shared" si="27"/>
        <v>9.5174262734584403E-2</v>
      </c>
      <c r="K20" s="10">
        <f t="shared" si="27"/>
        <v>0.33062330623306235</v>
      </c>
      <c r="L20" s="10">
        <f t="shared" si="27"/>
        <v>-8.333333333333337E-2</v>
      </c>
      <c r="V20" s="3"/>
    </row>
    <row r="21" spans="2:35" x14ac:dyDescent="0.45">
      <c r="B21" t="s">
        <v>54</v>
      </c>
      <c r="C21" s="3">
        <v>1166</v>
      </c>
      <c r="D21" s="3">
        <v>1180</v>
      </c>
      <c r="E21" s="3">
        <v>1430</v>
      </c>
      <c r="F21" s="3">
        <v>1910</v>
      </c>
      <c r="G21" s="3">
        <v>910</v>
      </c>
      <c r="H21" s="3">
        <v>780</v>
      </c>
      <c r="I21" s="3">
        <v>850</v>
      </c>
      <c r="J21" s="3">
        <v>730</v>
      </c>
      <c r="K21" s="3">
        <v>1060</v>
      </c>
      <c r="L21" s="3">
        <v>460</v>
      </c>
      <c r="M21" s="3">
        <f>I21*(1+M22)</f>
        <v>552.5</v>
      </c>
      <c r="N21" s="3">
        <f>J21*(1+N22)</f>
        <v>584</v>
      </c>
      <c r="O21" s="3">
        <f>K21*(1+O22)</f>
        <v>1007</v>
      </c>
      <c r="P21" s="3">
        <f>L21*(1+P22)</f>
        <v>1012.0000000000001</v>
      </c>
      <c r="V21" s="3">
        <f>SUM(E21:H21)</f>
        <v>5030</v>
      </c>
      <c r="W21" s="3">
        <f>SUM(I21:L21)</f>
        <v>3100</v>
      </c>
      <c r="X21" s="3">
        <f>SUM(M21:P21)</f>
        <v>3155.5</v>
      </c>
      <c r="Y21" s="3">
        <f>X21*(1+Y22)</f>
        <v>3281.7200000000003</v>
      </c>
      <c r="Z21" s="3">
        <f t="shared" ref="Z21:AI21" si="28">Y21*(1+Z22)</f>
        <v>3367.0447200000003</v>
      </c>
      <c r="AA21" s="3">
        <f t="shared" si="28"/>
        <v>3407.4492566400004</v>
      </c>
      <c r="AB21" s="3">
        <f t="shared" si="28"/>
        <v>3400.6343581267206</v>
      </c>
      <c r="AC21" s="3">
        <f t="shared" si="28"/>
        <v>3346.224208396693</v>
      </c>
      <c r="AD21" s="3">
        <f t="shared" si="28"/>
        <v>3245.8374821447924</v>
      </c>
      <c r="AE21" s="3">
        <f t="shared" si="28"/>
        <v>3148.4623576804483</v>
      </c>
      <c r="AF21" s="3">
        <f t="shared" si="28"/>
        <v>3054.0084869500347</v>
      </c>
      <c r="AG21" s="3">
        <f t="shared" si="28"/>
        <v>2962.3882323415337</v>
      </c>
      <c r="AH21" s="3">
        <f t="shared" si="28"/>
        <v>2873.5165853712874</v>
      </c>
      <c r="AI21" s="3">
        <f t="shared" si="28"/>
        <v>2787.3110878101488</v>
      </c>
    </row>
    <row r="22" spans="2:35" x14ac:dyDescent="0.45">
      <c r="B22" s="8" t="s">
        <v>118</v>
      </c>
      <c r="C22" s="3"/>
      <c r="D22" s="3"/>
      <c r="E22" s="3"/>
      <c r="F22" s="3"/>
      <c r="G22" s="10">
        <f>G21/C21-1</f>
        <v>-0.21955403087478564</v>
      </c>
      <c r="H22" s="10">
        <f t="shared" ref="H22:L22" si="29">H21/D21-1</f>
        <v>-0.33898305084745761</v>
      </c>
      <c r="I22" s="10">
        <f t="shared" si="29"/>
        <v>-0.40559440559440563</v>
      </c>
      <c r="J22" s="10">
        <f t="shared" si="29"/>
        <v>-0.61780104712041883</v>
      </c>
      <c r="K22" s="10">
        <f t="shared" si="29"/>
        <v>0.16483516483516492</v>
      </c>
      <c r="L22" s="10">
        <f t="shared" si="29"/>
        <v>-0.41025641025641024</v>
      </c>
      <c r="M22" s="10">
        <v>-0.35</v>
      </c>
      <c r="N22" s="33">
        <v>-0.2</v>
      </c>
      <c r="O22" s="33">
        <v>-0.05</v>
      </c>
      <c r="P22" s="10">
        <v>1.2</v>
      </c>
      <c r="V22" s="3"/>
      <c r="W22" s="10">
        <f>W21/V21-1</f>
        <v>-0.38369781312127238</v>
      </c>
      <c r="X22" s="10">
        <f>X21/W21-1</f>
        <v>1.7903225806451539E-2</v>
      </c>
      <c r="Y22" s="21">
        <v>0.04</v>
      </c>
      <c r="Z22" s="28">
        <f>Y22+($AD$22-$Y$22)/($AD$1-$Y$1)</f>
        <v>2.5999999999999999E-2</v>
      </c>
      <c r="AA22" s="28">
        <f t="shared" ref="AA22:AC22" si="30">Z22+($AD$22-$Y$22)/($AD$1-$Y$1)</f>
        <v>1.1999999999999997E-2</v>
      </c>
      <c r="AB22" s="28">
        <f t="shared" si="30"/>
        <v>-2.0000000000000052E-3</v>
      </c>
      <c r="AC22" s="28">
        <f t="shared" si="30"/>
        <v>-1.6000000000000007E-2</v>
      </c>
      <c r="AD22" s="21">
        <v>-0.03</v>
      </c>
      <c r="AE22" s="28">
        <f>AD22</f>
        <v>-0.03</v>
      </c>
      <c r="AF22" s="28">
        <f t="shared" ref="AF22:AI22" si="31">AE22</f>
        <v>-0.03</v>
      </c>
      <c r="AG22" s="28">
        <f t="shared" si="31"/>
        <v>-0.03</v>
      </c>
      <c r="AH22" s="28">
        <f t="shared" si="31"/>
        <v>-0.03</v>
      </c>
      <c r="AI22" s="28">
        <f t="shared" si="31"/>
        <v>-0.03</v>
      </c>
    </row>
    <row r="23" spans="2:35" x14ac:dyDescent="0.45">
      <c r="B23" t="s">
        <v>14</v>
      </c>
      <c r="C23" s="3">
        <v>1027</v>
      </c>
      <c r="D23" s="3">
        <v>1100</v>
      </c>
      <c r="E23" s="3">
        <v>1170</v>
      </c>
      <c r="F23" s="3">
        <v>1340</v>
      </c>
      <c r="G23" s="3">
        <v>1860</v>
      </c>
      <c r="H23" s="3">
        <v>1930</v>
      </c>
      <c r="I23" s="3">
        <v>1860</v>
      </c>
      <c r="J23" s="3">
        <v>2030</v>
      </c>
      <c r="K23" s="3">
        <v>2420</v>
      </c>
      <c r="L23" s="3">
        <v>2190</v>
      </c>
      <c r="V23" s="3">
        <f>SUM(E23:H23)</f>
        <v>6300</v>
      </c>
    </row>
    <row r="24" spans="2:35" x14ac:dyDescent="0.45"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35" x14ac:dyDescent="0.45">
      <c r="B25" s="2" t="s">
        <v>57</v>
      </c>
      <c r="C25" s="7">
        <f>C27+C29+C31+C33</f>
        <v>8465</v>
      </c>
      <c r="D25" s="7">
        <f t="shared" ref="D25:L25" si="32">D27+D29+D31+D33</f>
        <v>9060</v>
      </c>
      <c r="E25" s="7">
        <f t="shared" si="32"/>
        <v>10000</v>
      </c>
      <c r="F25" s="7">
        <f t="shared" si="32"/>
        <v>10100</v>
      </c>
      <c r="G25" s="7">
        <f t="shared" si="32"/>
        <v>10179</v>
      </c>
      <c r="H25" s="7">
        <f t="shared" si="32"/>
        <v>10500</v>
      </c>
      <c r="I25" s="7">
        <f t="shared" si="32"/>
        <v>12210</v>
      </c>
      <c r="J25" s="7">
        <f t="shared" si="32"/>
        <v>12720</v>
      </c>
      <c r="K25" s="7">
        <f t="shared" si="32"/>
        <v>13010</v>
      </c>
      <c r="L25" s="7">
        <f t="shared" si="32"/>
        <v>11860</v>
      </c>
      <c r="M25" s="2"/>
      <c r="N25" s="2"/>
      <c r="O25" s="2"/>
      <c r="P25" s="2"/>
      <c r="Q25" s="2"/>
      <c r="R25" s="2"/>
      <c r="S25" s="2"/>
      <c r="T25" s="2"/>
      <c r="U25" s="2"/>
      <c r="V25" s="7">
        <f>SUM(V27:V33)</f>
        <v>40779</v>
      </c>
    </row>
    <row r="26" spans="2:35" x14ac:dyDescent="0.45">
      <c r="B26" s="18" t="s">
        <v>118</v>
      </c>
      <c r="C26" s="7"/>
      <c r="D26" s="7"/>
      <c r="E26" s="7"/>
      <c r="F26" s="7"/>
      <c r="G26" s="19">
        <f>G25/C25-1</f>
        <v>0.20248080330773766</v>
      </c>
      <c r="H26" s="19">
        <f t="shared" ref="H26" si="33">H25/D25-1</f>
        <v>0.1589403973509933</v>
      </c>
      <c r="I26" s="19">
        <f t="shared" ref="I26" si="34">I25/E25-1</f>
        <v>0.22100000000000009</v>
      </c>
      <c r="J26" s="19">
        <f t="shared" ref="J26" si="35">J25/F25-1</f>
        <v>0.25940594059405941</v>
      </c>
      <c r="K26" s="19">
        <f t="shared" ref="K26:L26" si="36">K25/G25-1</f>
        <v>0.27812162294920917</v>
      </c>
      <c r="L26" s="19">
        <f t="shared" si="36"/>
        <v>0.1295238095238096</v>
      </c>
      <c r="M26" s="2"/>
      <c r="N26" s="2"/>
      <c r="O26" s="2"/>
      <c r="P26" s="2"/>
      <c r="Q26" s="2"/>
      <c r="R26" s="2"/>
      <c r="S26" s="2"/>
      <c r="T26" s="2"/>
      <c r="U26" s="2"/>
      <c r="V26" s="7"/>
    </row>
    <row r="27" spans="2:35" x14ac:dyDescent="0.45">
      <c r="B27" t="s">
        <v>55</v>
      </c>
      <c r="C27" s="3">
        <v>1665</v>
      </c>
      <c r="D27" s="3">
        <v>1310</v>
      </c>
      <c r="E27" s="3">
        <v>1750</v>
      </c>
      <c r="F27" s="3">
        <v>1370</v>
      </c>
      <c r="G27" s="3">
        <v>1360</v>
      </c>
      <c r="H27" s="3">
        <v>1270</v>
      </c>
      <c r="I27" s="3">
        <v>1810</v>
      </c>
      <c r="J27" s="3">
        <v>1800</v>
      </c>
      <c r="K27" s="3">
        <v>1690</v>
      </c>
      <c r="L27" s="3">
        <v>830</v>
      </c>
      <c r="M27" s="3">
        <f>I27*(1+M28)</f>
        <v>2443.5</v>
      </c>
      <c r="N27" s="3">
        <f>J27*(1+N28)</f>
        <v>2364</v>
      </c>
      <c r="O27" s="3">
        <f>K27*(1+O28)</f>
        <v>2157.5666666666666</v>
      </c>
      <c r="P27" s="3">
        <f>L27*(1+P28)</f>
        <v>1029.2</v>
      </c>
      <c r="T27" s="3">
        <f>SUM(I29:L29)</f>
        <v>31250</v>
      </c>
      <c r="V27" s="3">
        <f>SUM(E27:H27)</f>
        <v>5750</v>
      </c>
      <c r="W27" s="3">
        <f>SUM(I27:L27)</f>
        <v>6130</v>
      </c>
      <c r="X27" s="3">
        <f>SUM(M27:P27)</f>
        <v>7994.2666666666664</v>
      </c>
      <c r="Y27" s="3">
        <f>X27*(1+Y28)</f>
        <v>9193.4066666666658</v>
      </c>
      <c r="Z27" s="3">
        <f t="shared" ref="Z27" si="37">Y27*(1+Z28)</f>
        <v>10204.681399999998</v>
      </c>
      <c r="AA27" s="3">
        <f t="shared" ref="AA27" si="38">Z27*(1+AA28)</f>
        <v>10919.009097999999</v>
      </c>
      <c r="AB27" s="3">
        <f t="shared" ref="AB27" si="39">AA27*(1+AB28)</f>
        <v>11246.579370939999</v>
      </c>
      <c r="AC27" s="3">
        <f t="shared" ref="AC27" si="40">AB27*(1+AC28)</f>
        <v>11134.113577230599</v>
      </c>
      <c r="AD27" s="3">
        <f t="shared" ref="AD27" si="41">AC27*(1+AD28)</f>
        <v>10577.407898369069</v>
      </c>
      <c r="AE27" s="3">
        <f t="shared" ref="AE27" si="42">AD27*(1+AE28)</f>
        <v>10048.537503450614</v>
      </c>
      <c r="AF27" s="3">
        <f t="shared" ref="AF27" si="43">AE27*(1+AF28)</f>
        <v>9546.1106282780838</v>
      </c>
      <c r="AG27" s="3">
        <f t="shared" ref="AG27" si="44">AF27*(1+AG28)</f>
        <v>9068.8050968641801</v>
      </c>
      <c r="AH27" s="3">
        <f t="shared" ref="AH27" si="45">AG27*(1+AH28)</f>
        <v>8615.3648420209702</v>
      </c>
      <c r="AI27" s="3">
        <f t="shared" ref="AI27" si="46">AH27*(1+AI28)</f>
        <v>8184.5965999199216</v>
      </c>
    </row>
    <row r="28" spans="2:35" x14ac:dyDescent="0.45">
      <c r="B28" s="8" t="s">
        <v>118</v>
      </c>
      <c r="C28" s="3"/>
      <c r="D28" s="3"/>
      <c r="E28" s="3"/>
      <c r="F28" s="3"/>
      <c r="G28" s="10">
        <f>G27/C27-1</f>
        <v>-0.18318318318318316</v>
      </c>
      <c r="H28" s="10">
        <f t="shared" ref="H28:L28" si="47">H27/D27-1</f>
        <v>-3.0534351145038219E-2</v>
      </c>
      <c r="I28" s="10">
        <f t="shared" si="47"/>
        <v>3.4285714285714253E-2</v>
      </c>
      <c r="J28" s="10">
        <f t="shared" si="47"/>
        <v>0.31386861313868608</v>
      </c>
      <c r="K28" s="10">
        <f t="shared" si="47"/>
        <v>0.24264705882352944</v>
      </c>
      <c r="L28" s="10">
        <f t="shared" si="47"/>
        <v>-0.34645669291338588</v>
      </c>
      <c r="M28" s="20">
        <v>0.35</v>
      </c>
      <c r="N28" s="26">
        <f>M28+(($P$28-$M$28)/($P$1-$M$1))</f>
        <v>0.3133333333333333</v>
      </c>
      <c r="O28" s="26">
        <f>N28+(($P$28-$M$28)/($P$1-$M$1))</f>
        <v>0.27666666666666662</v>
      </c>
      <c r="P28" s="20">
        <v>0.24</v>
      </c>
      <c r="T28" s="7">
        <f>Model!W51-'Revenue and costs build'!T27</f>
        <v>14642</v>
      </c>
      <c r="V28" s="3"/>
      <c r="W28" s="10">
        <f>W27/V27-1</f>
        <v>6.6086956521739237E-2</v>
      </c>
      <c r="X28" s="10">
        <f>X27/W27-1</f>
        <v>0.30412180532898314</v>
      </c>
      <c r="Y28" s="21">
        <v>0.15</v>
      </c>
      <c r="Z28" s="28">
        <f>Y28+($AD$28-$Y$28)/($AD$1-$Y$1)</f>
        <v>0.10999999999999999</v>
      </c>
      <c r="AA28" s="28">
        <f t="shared" ref="AA28:AC28" si="48">Z28+($AD$28-$Y$28)/($AD$1-$Y$1)</f>
        <v>6.9999999999999979E-2</v>
      </c>
      <c r="AB28" s="28">
        <f t="shared" si="48"/>
        <v>2.9999999999999978E-2</v>
      </c>
      <c r="AC28" s="28">
        <f t="shared" si="48"/>
        <v>-1.0000000000000023E-2</v>
      </c>
      <c r="AD28" s="21">
        <v>-0.05</v>
      </c>
      <c r="AE28" s="28">
        <f>AD28</f>
        <v>-0.05</v>
      </c>
      <c r="AF28" s="28">
        <f t="shared" ref="AF28:AI28" si="49">AE28</f>
        <v>-0.05</v>
      </c>
      <c r="AG28" s="28">
        <f t="shared" si="49"/>
        <v>-0.05</v>
      </c>
      <c r="AH28" s="28">
        <f t="shared" si="49"/>
        <v>-0.05</v>
      </c>
      <c r="AI28" s="28">
        <f t="shared" si="49"/>
        <v>-0.05</v>
      </c>
    </row>
    <row r="29" spans="2:35" x14ac:dyDescent="0.45">
      <c r="B29" t="s">
        <v>58</v>
      </c>
      <c r="C29" s="3">
        <v>4418</v>
      </c>
      <c r="D29" s="3">
        <v>5020</v>
      </c>
      <c r="E29" s="3">
        <v>5520</v>
      </c>
      <c r="F29" s="3">
        <v>5730</v>
      </c>
      <c r="G29" s="3">
        <v>5840</v>
      </c>
      <c r="H29" s="3">
        <v>6140</v>
      </c>
      <c r="I29" s="3">
        <v>7300</v>
      </c>
      <c r="J29" s="3">
        <v>8070</v>
      </c>
      <c r="K29" s="3">
        <v>8090</v>
      </c>
      <c r="L29" s="3">
        <v>7790</v>
      </c>
      <c r="M29" s="3">
        <f>I29*(1+M30)</f>
        <v>9855</v>
      </c>
      <c r="N29" s="3">
        <f>J29*(1+N30)</f>
        <v>10491</v>
      </c>
      <c r="O29" s="3">
        <f>K29*(1+O30)</f>
        <v>10112.5</v>
      </c>
      <c r="P29" s="3">
        <f>L29*(1+P30)</f>
        <v>9348</v>
      </c>
      <c r="V29" s="3">
        <f>SUM(E29:H29)</f>
        <v>23230</v>
      </c>
      <c r="W29" s="3">
        <f>SUM(I29:L29)</f>
        <v>31250</v>
      </c>
      <c r="X29" s="3">
        <f>SUM(M29:P29)</f>
        <v>39806.5</v>
      </c>
      <c r="Y29" s="3">
        <f>X29*(1+Y30)</f>
        <v>35825.85</v>
      </c>
      <c r="Z29" s="3">
        <f t="shared" ref="Z29" si="50">Y29*(1+Z30)</f>
        <v>32959.781999999999</v>
      </c>
      <c r="AA29" s="3">
        <f t="shared" ref="AA29" si="51">Z29*(1+AA30)</f>
        <v>30982.195079999998</v>
      </c>
      <c r="AB29" s="3">
        <f t="shared" ref="AB29" si="52">AA29*(1+AB30)</f>
        <v>29742.907276799997</v>
      </c>
      <c r="AC29" s="3">
        <f t="shared" ref="AC29" si="53">AB29*(1+AC30)</f>
        <v>29148.049131263997</v>
      </c>
      <c r="AD29" s="3">
        <f t="shared" ref="AD29" si="54">AC29*(1+AD30)</f>
        <v>29148.049131263997</v>
      </c>
      <c r="AE29" s="3">
        <f t="shared" ref="AE29" si="55">AD29*(1+AE30)</f>
        <v>29148.049131263997</v>
      </c>
      <c r="AF29" s="3">
        <f t="shared" ref="AF29" si="56">AE29*(1+AF30)</f>
        <v>29148.049131263997</v>
      </c>
      <c r="AG29" s="3">
        <f t="shared" ref="AG29" si="57">AF29*(1+AG30)</f>
        <v>29148.049131263997</v>
      </c>
      <c r="AH29" s="3">
        <f t="shared" ref="AH29" si="58">AG29*(1+AH30)</f>
        <v>29148.049131263997</v>
      </c>
      <c r="AI29" s="3">
        <f t="shared" ref="AI29" si="59">AH29*(1+AI30)</f>
        <v>29148.049131263997</v>
      </c>
    </row>
    <row r="30" spans="2:35" x14ac:dyDescent="0.45">
      <c r="B30" s="8" t="s">
        <v>118</v>
      </c>
      <c r="C30" s="3"/>
      <c r="D30" s="3"/>
      <c r="E30" s="3"/>
      <c r="F30" s="3"/>
      <c r="G30" s="10">
        <f>G29/C29-1</f>
        <v>0.32186509732910817</v>
      </c>
      <c r="H30" s="10">
        <f t="shared" ref="H30:L30" si="60">H29/D29-1</f>
        <v>0.22310756972111556</v>
      </c>
      <c r="I30" s="10">
        <f t="shared" si="60"/>
        <v>0.32246376811594213</v>
      </c>
      <c r="J30" s="10">
        <f t="shared" si="60"/>
        <v>0.40837696335078544</v>
      </c>
      <c r="K30" s="10">
        <f t="shared" si="60"/>
        <v>0.38527397260273966</v>
      </c>
      <c r="L30" s="10">
        <f t="shared" si="60"/>
        <v>0.26872964169381097</v>
      </c>
      <c r="M30" s="21">
        <v>0.35</v>
      </c>
      <c r="N30" s="26">
        <f>M30+(($P$30-$M$30)/($P$1-$M$1))</f>
        <v>0.3</v>
      </c>
      <c r="O30" s="26">
        <f>N30+(($P$30-$M$30)/($P$1-$M$1))</f>
        <v>0.25</v>
      </c>
      <c r="P30" s="21">
        <v>0.2</v>
      </c>
      <c r="V30" s="3"/>
      <c r="W30" s="10">
        <f>W29/V29-1</f>
        <v>0.34524321997417129</v>
      </c>
      <c r="X30" s="10">
        <f>X29/W29-1</f>
        <v>0.27380800000000005</v>
      </c>
      <c r="Y30" s="21">
        <v>-0.1</v>
      </c>
      <c r="Z30" s="28">
        <f>Y30+($AD$30-$Y$30)/($AD$1-$Y$1)</f>
        <v>-0.08</v>
      </c>
      <c r="AA30" s="28">
        <f t="shared" ref="AA30:AC30" si="61">Z30+($AD$30-$Y$30)/($AD$1-$Y$1)</f>
        <v>-0.06</v>
      </c>
      <c r="AB30" s="28">
        <f t="shared" si="61"/>
        <v>-3.9999999999999994E-2</v>
      </c>
      <c r="AC30" s="28">
        <f t="shared" si="61"/>
        <v>-1.9999999999999993E-2</v>
      </c>
      <c r="AD30" s="21">
        <v>0</v>
      </c>
      <c r="AE30" s="28">
        <f>AD30</f>
        <v>0</v>
      </c>
      <c r="AF30" s="28">
        <f t="shared" ref="AF30:AI30" si="62">AE30</f>
        <v>0</v>
      </c>
      <c r="AG30" s="28">
        <f t="shared" si="62"/>
        <v>0</v>
      </c>
      <c r="AH30" s="28">
        <f t="shared" si="62"/>
        <v>0</v>
      </c>
      <c r="AI30" s="28">
        <f t="shared" si="62"/>
        <v>0</v>
      </c>
    </row>
    <row r="31" spans="2:35" x14ac:dyDescent="0.45">
      <c r="B31" t="s">
        <v>59</v>
      </c>
      <c r="C31" s="3">
        <v>1301</v>
      </c>
      <c r="D31" s="3">
        <v>1510</v>
      </c>
      <c r="E31" s="3">
        <v>1620</v>
      </c>
      <c r="F31" s="3">
        <v>1730</v>
      </c>
      <c r="G31" s="3">
        <v>1710</v>
      </c>
      <c r="H31" s="3">
        <v>1880</v>
      </c>
      <c r="I31" s="3">
        <v>1550</v>
      </c>
      <c r="J31" s="3">
        <v>1550</v>
      </c>
      <c r="K31" s="3">
        <v>1700</v>
      </c>
      <c r="L31" s="3">
        <v>1620</v>
      </c>
      <c r="V31" s="3">
        <f>SUM(E31:H31)</f>
        <v>6940</v>
      </c>
    </row>
    <row r="32" spans="2:35" x14ac:dyDescent="0.45">
      <c r="B32" s="8" t="s">
        <v>118</v>
      </c>
      <c r="C32" s="3"/>
      <c r="D32" s="3"/>
      <c r="E32" s="3"/>
      <c r="F32" s="3"/>
      <c r="G32" s="10">
        <f>G31/C31-1</f>
        <v>0.31437355880092244</v>
      </c>
      <c r="H32" s="10">
        <f t="shared" ref="H32:L32" si="63">H31/D31-1</f>
        <v>0.24503311258278138</v>
      </c>
      <c r="I32" s="10">
        <f t="shared" si="63"/>
        <v>-4.3209876543209846E-2</v>
      </c>
      <c r="J32" s="10">
        <f t="shared" si="63"/>
        <v>-0.10404624277456642</v>
      </c>
      <c r="K32" s="10">
        <f t="shared" si="63"/>
        <v>-5.8479532163743242E-3</v>
      </c>
      <c r="L32" s="10">
        <f t="shared" si="63"/>
        <v>-0.13829787234042556</v>
      </c>
      <c r="V32" s="3"/>
    </row>
    <row r="33" spans="2:35" x14ac:dyDescent="0.45">
      <c r="B33" t="s">
        <v>14</v>
      </c>
      <c r="C33" s="3">
        <v>1081</v>
      </c>
      <c r="D33" s="3">
        <v>1220</v>
      </c>
      <c r="E33" s="3">
        <v>1110</v>
      </c>
      <c r="F33" s="3">
        <v>1270</v>
      </c>
      <c r="G33" s="3">
        <v>1269</v>
      </c>
      <c r="H33" s="3">
        <v>1210</v>
      </c>
      <c r="I33" s="3">
        <v>1550</v>
      </c>
      <c r="J33" s="3">
        <v>1300</v>
      </c>
      <c r="K33" s="3">
        <v>1530</v>
      </c>
      <c r="L33" s="3">
        <v>1620</v>
      </c>
      <c r="V33" s="3">
        <f>SUM(E33:H33)</f>
        <v>4859</v>
      </c>
    </row>
    <row r="34" spans="2:35" x14ac:dyDescent="0.45"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35" x14ac:dyDescent="0.45">
      <c r="B35" s="2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35" x14ac:dyDescent="0.45">
      <c r="B36" t="s">
        <v>61</v>
      </c>
      <c r="C36" s="3">
        <v>2500000</v>
      </c>
      <c r="D36" s="3">
        <f>2.6*1000000</f>
        <v>2600000</v>
      </c>
      <c r="E36" s="3">
        <f>2.96*1000000</f>
        <v>2960000</v>
      </c>
      <c r="F36" s="3">
        <f>3.2*1000000</f>
        <v>3200000</v>
      </c>
      <c r="G36" s="3">
        <f>3.46*1000000</f>
        <v>3460000</v>
      </c>
      <c r="H36" s="3">
        <f>3.62*1000000</f>
        <v>3620000</v>
      </c>
      <c r="I36" s="3">
        <f>4.05*1000000</f>
        <v>4050000</v>
      </c>
      <c r="J36" s="3">
        <f>4.5*1000000</f>
        <v>4500000</v>
      </c>
      <c r="K36" s="3">
        <f t="shared" ref="K36" si="64">5.1*1000000</f>
        <v>5100000</v>
      </c>
      <c r="L36" s="3">
        <f>4.69*1000000</f>
        <v>4690000</v>
      </c>
      <c r="M36" s="3">
        <f>I36*(1+M37)</f>
        <v>4860000</v>
      </c>
      <c r="N36" s="3">
        <f t="shared" ref="N36:P36" si="65">J36*(1+N37)</f>
        <v>5400000</v>
      </c>
      <c r="O36" s="3">
        <f t="shared" si="65"/>
        <v>6120000</v>
      </c>
      <c r="P36" s="3">
        <f t="shared" si="65"/>
        <v>5628000</v>
      </c>
      <c r="V36" s="3">
        <f>SUM(E36:H36)</f>
        <v>13240000</v>
      </c>
      <c r="W36" s="3">
        <f>SUM(I36:L36)</f>
        <v>18340000</v>
      </c>
      <c r="X36" s="3">
        <f>SUM(M36:P36)</f>
        <v>22008000</v>
      </c>
      <c r="Y36" s="3">
        <f>X36*(1+Y37)</f>
        <v>27510000</v>
      </c>
      <c r="Z36" s="3">
        <f t="shared" ref="Z36:AI36" si="66">Y36*(1+Z37)</f>
        <v>33067020</v>
      </c>
      <c r="AA36" s="3">
        <f t="shared" si="66"/>
        <v>38159341.079999998</v>
      </c>
      <c r="AB36" s="3">
        <f t="shared" si="66"/>
        <v>42204231.234480001</v>
      </c>
      <c r="AC36" s="3">
        <f t="shared" si="66"/>
        <v>44652076.646079846</v>
      </c>
      <c r="AD36" s="3">
        <f t="shared" si="66"/>
        <v>45098597.412540644</v>
      </c>
      <c r="AE36" s="3">
        <f t="shared" si="66"/>
        <v>45549583.386666052</v>
      </c>
      <c r="AF36" s="3">
        <f t="shared" si="66"/>
        <v>46005079.220532715</v>
      </c>
      <c r="AG36" s="3">
        <f t="shared" si="66"/>
        <v>46465130.012738042</v>
      </c>
      <c r="AH36" s="3">
        <f t="shared" si="66"/>
        <v>46929781.312865421</v>
      </c>
      <c r="AI36" s="3">
        <f t="shared" si="66"/>
        <v>47399079.125994079</v>
      </c>
    </row>
    <row r="37" spans="2:35" x14ac:dyDescent="0.45">
      <c r="B37" s="8" t="s">
        <v>118</v>
      </c>
      <c r="C37" s="3"/>
      <c r="D37" s="3"/>
      <c r="E37" s="3"/>
      <c r="F37" s="3"/>
      <c r="G37" s="10">
        <f>G36/C36-1</f>
        <v>0.3839999999999999</v>
      </c>
      <c r="H37" s="10">
        <f t="shared" ref="H37:L37" si="67">H36/D36-1</f>
        <v>0.39230769230769225</v>
      </c>
      <c r="I37" s="10">
        <f t="shared" si="67"/>
        <v>0.3682432432432432</v>
      </c>
      <c r="J37" s="10">
        <f t="shared" si="67"/>
        <v>0.40625</v>
      </c>
      <c r="K37" s="10">
        <f t="shared" si="67"/>
        <v>0.47398843930635848</v>
      </c>
      <c r="L37" s="10">
        <f t="shared" si="67"/>
        <v>0.29558011049723754</v>
      </c>
      <c r="M37" s="10">
        <v>0.2</v>
      </c>
      <c r="N37" s="10">
        <v>0.2</v>
      </c>
      <c r="O37" s="10">
        <v>0.2</v>
      </c>
      <c r="P37" s="10">
        <v>0.2</v>
      </c>
      <c r="V37" s="3"/>
      <c r="W37" s="10">
        <f>W36/V36-1</f>
        <v>0.38519637462235656</v>
      </c>
      <c r="X37" s="10">
        <f>X36/W36-1</f>
        <v>0.19999999999999996</v>
      </c>
      <c r="Y37" s="21">
        <v>0.25</v>
      </c>
      <c r="Z37" s="28">
        <f>Y37+($AD$37-$Y$37)/($AD$1-$Y$1)</f>
        <v>0.20200000000000001</v>
      </c>
      <c r="AA37" s="28">
        <f t="shared" ref="AA37:AC37" si="68">Z37+($AD$37-$Y$37)/($AD$1-$Y$1)</f>
        <v>0.15400000000000003</v>
      </c>
      <c r="AB37" s="28">
        <f t="shared" si="68"/>
        <v>0.10600000000000002</v>
      </c>
      <c r="AC37" s="28">
        <f t="shared" si="68"/>
        <v>5.8000000000000024E-2</v>
      </c>
      <c r="AD37" s="21">
        <v>0.01</v>
      </c>
      <c r="AE37" s="29">
        <f>AD37</f>
        <v>0.01</v>
      </c>
      <c r="AF37" s="29">
        <f t="shared" ref="AF37:AI37" si="69">AE37</f>
        <v>0.01</v>
      </c>
      <c r="AG37" s="29">
        <f t="shared" si="69"/>
        <v>0.01</v>
      </c>
      <c r="AH37" s="29">
        <f t="shared" si="69"/>
        <v>0.01</v>
      </c>
      <c r="AI37" s="29">
        <f t="shared" si="69"/>
        <v>0.01</v>
      </c>
    </row>
    <row r="38" spans="2:35" x14ac:dyDescent="0.45">
      <c r="B38" t="s">
        <v>62</v>
      </c>
      <c r="C38" s="3">
        <v>3477</v>
      </c>
      <c r="D38" s="3">
        <v>4142</v>
      </c>
      <c r="E38" s="3">
        <v>5120</v>
      </c>
      <c r="F38" s="3">
        <v>5752</v>
      </c>
      <c r="G38" s="3">
        <v>6280</v>
      </c>
      <c r="H38" s="3">
        <v>6850</v>
      </c>
      <c r="I38" s="3">
        <v>7960</v>
      </c>
      <c r="J38" s="3">
        <v>9120</v>
      </c>
      <c r="K38" s="3">
        <v>9990</v>
      </c>
      <c r="L38" s="3">
        <v>9620</v>
      </c>
      <c r="M38" s="3">
        <f t="shared" ref="M38:P38" si="70">M40*M52</f>
        <v>9840.4212866042453</v>
      </c>
      <c r="N38" s="3">
        <f t="shared" si="70"/>
        <v>10940.417882863901</v>
      </c>
      <c r="O38" s="3">
        <f t="shared" si="70"/>
        <v>12331.000698335634</v>
      </c>
      <c r="P38" s="3">
        <f t="shared" si="70"/>
        <v>11572.160517851566</v>
      </c>
      <c r="V38" s="3">
        <f>SUM(E38:H38)</f>
        <v>24002</v>
      </c>
      <c r="W38" s="3">
        <f>SUM(I38:L38)</f>
        <v>36690</v>
      </c>
      <c r="X38" s="3">
        <f>SUM(M38:P38)</f>
        <v>44684.000385655352</v>
      </c>
      <c r="Y38" s="3">
        <f>Y40*Y52</f>
        <v>55675</v>
      </c>
      <c r="Z38" s="3">
        <f t="shared" ref="Z38:AI38" si="71">Z40*Z52</f>
        <v>69154.585096153838</v>
      </c>
      <c r="AA38" s="3">
        <f t="shared" si="71"/>
        <v>80579.191115533977</v>
      </c>
      <c r="AB38" s="3">
        <f t="shared" si="71"/>
        <v>89994.316602935301</v>
      </c>
      <c r="AC38" s="3">
        <f t="shared" si="71"/>
        <v>97261.949130074921</v>
      </c>
      <c r="AD38" s="3">
        <f t="shared" si="71"/>
        <v>101471.84417821646</v>
      </c>
      <c r="AE38" s="3">
        <f t="shared" si="71"/>
        <v>103521.78042424103</v>
      </c>
      <c r="AF38" s="3">
        <f t="shared" si="71"/>
        <v>105623.90637367206</v>
      </c>
      <c r="AG38" s="3">
        <f t="shared" si="71"/>
        <v>107779.9407511965</v>
      </c>
      <c r="AH38" s="3">
        <f t="shared" si="71"/>
        <v>109991.67495202833</v>
      </c>
      <c r="AI38" s="3">
        <f t="shared" si="71"/>
        <v>112260.97687735439</v>
      </c>
    </row>
    <row r="39" spans="2:35" x14ac:dyDescent="0.45">
      <c r="B39" s="8" t="s">
        <v>118</v>
      </c>
      <c r="C39" s="3"/>
      <c r="D39" s="3"/>
      <c r="E39" s="3"/>
      <c r="F39" s="3"/>
      <c r="G39" s="10">
        <f>G38/C38-1</f>
        <v>0.80615473109002012</v>
      </c>
      <c r="H39" s="10">
        <f t="shared" ref="H39:L39" si="72">H38/D38-1</f>
        <v>0.65379043940125547</v>
      </c>
      <c r="I39" s="10">
        <f t="shared" si="72"/>
        <v>0.5546875</v>
      </c>
      <c r="J39" s="10">
        <f t="shared" si="72"/>
        <v>0.58553546592489569</v>
      </c>
      <c r="K39" s="10">
        <f t="shared" si="72"/>
        <v>0.59076433121019112</v>
      </c>
      <c r="L39" s="10">
        <f t="shared" si="72"/>
        <v>0.40437956204379555</v>
      </c>
      <c r="M39" s="10">
        <f>M38/I38-1</f>
        <v>0.23623382997540765</v>
      </c>
      <c r="N39" s="10">
        <f>N38/J38-1</f>
        <v>0.19960722399823472</v>
      </c>
      <c r="O39" s="10">
        <f>O38/K38-1</f>
        <v>0.23433440423780127</v>
      </c>
      <c r="P39" s="10">
        <f>P38/L38-1</f>
        <v>0.20292728875795896</v>
      </c>
      <c r="V39" s="3"/>
      <c r="W39" s="10">
        <f>W38/V38-1</f>
        <v>0.5286226147821016</v>
      </c>
      <c r="X39" s="10">
        <f>X38/W38-1</f>
        <v>0.21787954171859769</v>
      </c>
      <c r="Y39" s="10">
        <f t="shared" ref="Y39:AI39" si="73">Y38/X38-1</f>
        <v>0.24597170171614779</v>
      </c>
      <c r="Z39" s="10">
        <f t="shared" si="73"/>
        <v>0.24211199095022606</v>
      </c>
      <c r="AA39" s="10">
        <f t="shared" si="73"/>
        <v>0.1652038834951457</v>
      </c>
      <c r="AB39" s="10">
        <f t="shared" si="73"/>
        <v>0.11684313725490214</v>
      </c>
      <c r="AC39" s="10">
        <f t="shared" si="73"/>
        <v>8.0756572208945165E-2</v>
      </c>
      <c r="AD39" s="10">
        <f t="shared" si="73"/>
        <v>4.32840909090908E-2</v>
      </c>
      <c r="AE39" s="10">
        <f t="shared" si="73"/>
        <v>2.020202020202011E-2</v>
      </c>
      <c r="AF39" s="10">
        <f t="shared" si="73"/>
        <v>2.0306122448979558E-2</v>
      </c>
      <c r="AG39" s="10">
        <f t="shared" si="73"/>
        <v>2.0412371134020724E-2</v>
      </c>
      <c r="AH39" s="10">
        <f t="shared" si="73"/>
        <v>2.0520833333333321E-2</v>
      </c>
      <c r="AI39" s="10">
        <f t="shared" si="73"/>
        <v>2.0631578947368334E-2</v>
      </c>
    </row>
    <row r="40" spans="2:35" x14ac:dyDescent="0.45">
      <c r="B40" t="s">
        <v>63</v>
      </c>
      <c r="C40" s="3">
        <v>4266</v>
      </c>
      <c r="D40" s="3">
        <v>5029</v>
      </c>
      <c r="E40" s="3">
        <v>6130</v>
      </c>
      <c r="F40" s="3">
        <v>6885</v>
      </c>
      <c r="G40" s="3">
        <v>7630</v>
      </c>
      <c r="H40" s="3">
        <v>8350</v>
      </c>
      <c r="I40" s="3">
        <v>9630</v>
      </c>
      <c r="J40" s="3">
        <v>10900</v>
      </c>
      <c r="K40" s="3">
        <v>11850</v>
      </c>
      <c r="L40" s="3">
        <v>11290</v>
      </c>
      <c r="M40" s="3">
        <f>M36/M51</f>
        <v>11576.966219534406</v>
      </c>
      <c r="N40" s="3">
        <f t="shared" ref="N40:P40" si="74">N36/N51</f>
        <v>12871.079862192826</v>
      </c>
      <c r="O40" s="3">
        <f t="shared" si="74"/>
        <v>14507.059645100746</v>
      </c>
      <c r="P40" s="3">
        <f t="shared" si="74"/>
        <v>13456.000602152983</v>
      </c>
      <c r="V40" s="3">
        <f>SUM(E40:H40)</f>
        <v>28995</v>
      </c>
      <c r="W40" s="3">
        <f>SUM(I40:L40)</f>
        <v>43670</v>
      </c>
      <c r="X40" s="3">
        <f>SUM(M40:P40)</f>
        <v>52411.106328980961</v>
      </c>
      <c r="Y40" s="4">
        <f>Y36/Y51</f>
        <v>65500</v>
      </c>
      <c r="Z40" s="4">
        <f t="shared" ref="Z40:AI40" si="75">Z36/Z51</f>
        <v>79488.028846153844</v>
      </c>
      <c r="AA40" s="4">
        <f t="shared" si="75"/>
        <v>92619.759902912614</v>
      </c>
      <c r="AB40" s="4">
        <f t="shared" si="75"/>
        <v>103441.74322176471</v>
      </c>
      <c r="AC40" s="4">
        <f t="shared" si="75"/>
        <v>110524.94219326695</v>
      </c>
      <c r="AD40" s="4">
        <f t="shared" si="75"/>
        <v>112746.49353135162</v>
      </c>
      <c r="AE40" s="4">
        <f t="shared" si="75"/>
        <v>115024.20047137892</v>
      </c>
      <c r="AF40" s="4">
        <f t="shared" si="75"/>
        <v>117359.89597074673</v>
      </c>
      <c r="AG40" s="4">
        <f t="shared" si="75"/>
        <v>119755.48972355165</v>
      </c>
      <c r="AH40" s="4">
        <f t="shared" si="75"/>
        <v>122212.97216892037</v>
      </c>
      <c r="AI40" s="4">
        <f t="shared" si="75"/>
        <v>124734.41875261599</v>
      </c>
    </row>
    <row r="41" spans="2:35" x14ac:dyDescent="0.45">
      <c r="B41" s="8" t="s">
        <v>118</v>
      </c>
      <c r="C41" s="3"/>
      <c r="D41" s="3"/>
      <c r="E41" s="3"/>
      <c r="F41" s="3"/>
      <c r="G41" s="10">
        <f>G40/C40-1</f>
        <v>0.78856071261134542</v>
      </c>
      <c r="H41" s="10">
        <f t="shared" ref="H41:L41" si="76">H40/D40-1</f>
        <v>0.66036985484191679</v>
      </c>
      <c r="I41" s="10">
        <f t="shared" si="76"/>
        <v>0.5709624796084829</v>
      </c>
      <c r="J41" s="10">
        <f t="shared" si="76"/>
        <v>0.58315177923021055</v>
      </c>
      <c r="K41" s="10">
        <f t="shared" si="76"/>
        <v>0.5530799475753605</v>
      </c>
      <c r="L41" s="10">
        <f t="shared" si="76"/>
        <v>0.35209580838323351</v>
      </c>
      <c r="M41" s="10">
        <f>M40/I40-1</f>
        <v>0.20217717752174513</v>
      </c>
      <c r="N41" s="10">
        <f>N40/J40-1</f>
        <v>0.18083301488007586</v>
      </c>
      <c r="O41" s="10">
        <f>O40/K40-1</f>
        <v>0.22422444262453545</v>
      </c>
      <c r="P41" s="10">
        <f>P40/L40-1</f>
        <v>0.1918512490835238</v>
      </c>
      <c r="V41" s="3"/>
      <c r="W41" s="10">
        <f>W40/V40-1</f>
        <v>0.50612174512847052</v>
      </c>
      <c r="X41" s="10">
        <f>X40/W40-1</f>
        <v>0.20016272793636269</v>
      </c>
      <c r="Y41" s="10">
        <f t="shared" ref="Y41:AI41" si="77">Y40/X40-1</f>
        <v>0.2497351150891749</v>
      </c>
      <c r="Z41" s="10">
        <f t="shared" si="77"/>
        <v>0.21355769230769228</v>
      </c>
      <c r="AA41" s="10">
        <f t="shared" si="77"/>
        <v>0.16520388349514548</v>
      </c>
      <c r="AB41" s="10">
        <f t="shared" si="77"/>
        <v>0.11684313725490214</v>
      </c>
      <c r="AC41" s="10">
        <f t="shared" si="77"/>
        <v>6.8475247524752536E-2</v>
      </c>
      <c r="AD41" s="10">
        <f t="shared" si="77"/>
        <v>2.0100000000000007E-2</v>
      </c>
      <c r="AE41" s="10">
        <f t="shared" si="77"/>
        <v>2.020202020202011E-2</v>
      </c>
      <c r="AF41" s="10">
        <f t="shared" si="77"/>
        <v>2.030612244897978E-2</v>
      </c>
      <c r="AG41" s="10">
        <f t="shared" si="77"/>
        <v>2.0412371134020502E-2</v>
      </c>
      <c r="AH41" s="10">
        <f t="shared" si="77"/>
        <v>2.0520833333333321E-2</v>
      </c>
      <c r="AI41" s="10">
        <f t="shared" si="77"/>
        <v>2.0631578947368334E-2</v>
      </c>
    </row>
    <row r="42" spans="2:35" x14ac:dyDescent="0.45">
      <c r="B42" t="s">
        <v>64</v>
      </c>
      <c r="C42" s="3">
        <v>64.400000000000006</v>
      </c>
      <c r="D42" s="3">
        <v>70.900000000000006</v>
      </c>
      <c r="E42" s="3">
        <v>75</v>
      </c>
      <c r="F42" s="3">
        <v>79.7</v>
      </c>
      <c r="G42" s="3">
        <v>85</v>
      </c>
      <c r="H42" s="3">
        <v>90</v>
      </c>
      <c r="I42" s="3">
        <v>92</v>
      </c>
      <c r="J42" s="3">
        <v>95</v>
      </c>
      <c r="K42" s="3">
        <v>100</v>
      </c>
      <c r="L42" s="3">
        <v>96</v>
      </c>
      <c r="M42" s="3"/>
      <c r="N42" s="3"/>
      <c r="O42" s="3"/>
      <c r="P42" s="3"/>
      <c r="V42" s="3">
        <f>AVERAGE(E42:H42)</f>
        <v>82.424999999999997</v>
      </c>
    </row>
    <row r="43" spans="2:35" x14ac:dyDescent="0.45">
      <c r="B43" s="8" t="s">
        <v>118</v>
      </c>
      <c r="C43" s="3"/>
      <c r="D43" s="3"/>
      <c r="E43" s="3"/>
      <c r="F43" s="3"/>
      <c r="G43" s="10">
        <f>G42/C42-1</f>
        <v>0.31987577639751552</v>
      </c>
      <c r="H43" s="10">
        <f t="shared" ref="H43:L43" si="78">H42/D42-1</f>
        <v>0.26939351198871631</v>
      </c>
      <c r="I43" s="10">
        <f t="shared" si="78"/>
        <v>0.22666666666666657</v>
      </c>
      <c r="J43" s="10">
        <f t="shared" si="78"/>
        <v>0.19196988707653695</v>
      </c>
      <c r="K43" s="10">
        <f t="shared" si="78"/>
        <v>0.17647058823529416</v>
      </c>
      <c r="L43" s="10">
        <f t="shared" si="78"/>
        <v>6.6666666666666652E-2</v>
      </c>
      <c r="M43" s="3"/>
      <c r="N43" s="3"/>
      <c r="O43" s="3"/>
      <c r="P43" s="3"/>
      <c r="V43" s="3"/>
    </row>
    <row r="44" spans="2:35" x14ac:dyDescent="0.45">
      <c r="B44" t="s">
        <v>65</v>
      </c>
      <c r="C44" s="3">
        <v>24.9</v>
      </c>
      <c r="D44" s="3">
        <v>26.7</v>
      </c>
      <c r="E44" s="3">
        <v>28.3</v>
      </c>
      <c r="F44" s="3">
        <v>29.5</v>
      </c>
      <c r="G44" s="3">
        <v>31.4</v>
      </c>
      <c r="H44" s="3">
        <v>33.5</v>
      </c>
      <c r="I44" s="3">
        <v>35.6</v>
      </c>
      <c r="J44" s="3">
        <v>37.5</v>
      </c>
      <c r="K44" s="3">
        <v>39.299999999999997</v>
      </c>
      <c r="L44" s="3">
        <v>40.6</v>
      </c>
      <c r="M44" s="3"/>
      <c r="N44" s="3"/>
      <c r="O44" s="3"/>
      <c r="P44" s="3"/>
      <c r="V44" s="3">
        <f>H44</f>
        <v>33.5</v>
      </c>
    </row>
    <row r="45" spans="2:35" x14ac:dyDescent="0.45">
      <c r="B45" s="8" t="s">
        <v>118</v>
      </c>
      <c r="C45" s="3"/>
      <c r="D45" s="3"/>
      <c r="E45" s="3"/>
      <c r="F45" s="3"/>
      <c r="G45" s="10">
        <f>G44/C44-1</f>
        <v>0.26104417670682722</v>
      </c>
      <c r="H45" s="10">
        <f t="shared" ref="H45:L45" si="79">H44/D44-1</f>
        <v>0.25468164794007486</v>
      </c>
      <c r="I45" s="10">
        <f t="shared" si="79"/>
        <v>0.25795053003533575</v>
      </c>
      <c r="J45" s="10">
        <f t="shared" si="79"/>
        <v>0.27118644067796605</v>
      </c>
      <c r="K45" s="10">
        <f t="shared" si="79"/>
        <v>0.25159235668789814</v>
      </c>
      <c r="L45" s="10">
        <f t="shared" si="79"/>
        <v>0.21194029850746277</v>
      </c>
      <c r="M45" s="3"/>
      <c r="N45" s="3"/>
      <c r="O45" s="3"/>
      <c r="P45" s="3"/>
      <c r="V45" s="3"/>
    </row>
    <row r="46" spans="2:35" x14ac:dyDescent="0.45">
      <c r="B46" t="s">
        <v>66</v>
      </c>
      <c r="C46" s="3">
        <v>18961</v>
      </c>
      <c r="D46" s="3">
        <v>22249</v>
      </c>
      <c r="E46" s="3">
        <v>19781</v>
      </c>
      <c r="F46" s="3">
        <v>24703</v>
      </c>
      <c r="G46" s="3">
        <v>25375</v>
      </c>
      <c r="H46" s="3">
        <v>28479</v>
      </c>
      <c r="I46" s="3">
        <v>30148</v>
      </c>
      <c r="J46" s="3">
        <v>35349</v>
      </c>
      <c r="K46" s="3">
        <v>40028</v>
      </c>
      <c r="L46" s="3">
        <v>36521</v>
      </c>
      <c r="M46" s="3"/>
      <c r="N46" s="3"/>
      <c r="O46" s="3"/>
      <c r="P46" s="3"/>
      <c r="V46" s="3">
        <f>H46</f>
        <v>28479</v>
      </c>
    </row>
    <row r="47" spans="2:35" x14ac:dyDescent="0.45">
      <c r="B47" s="8" t="s">
        <v>118</v>
      </c>
      <c r="C47" s="3"/>
      <c r="D47" s="3"/>
      <c r="E47" s="3"/>
      <c r="F47" s="3"/>
      <c r="G47" s="10">
        <f>G46/C46-1</f>
        <v>0.33827329782184479</v>
      </c>
      <c r="H47" s="10">
        <f t="shared" ref="H47:L47" si="80">H46/D46-1</f>
        <v>0.28001258483527347</v>
      </c>
      <c r="I47" s="10">
        <f t="shared" si="80"/>
        <v>0.52408877205399129</v>
      </c>
      <c r="J47" s="10">
        <f t="shared" si="80"/>
        <v>0.43095980245314336</v>
      </c>
      <c r="K47" s="10">
        <f t="shared" si="80"/>
        <v>0.5774581280788178</v>
      </c>
      <c r="L47" s="10">
        <f t="shared" si="80"/>
        <v>0.28238351065697542</v>
      </c>
      <c r="M47" s="3"/>
      <c r="N47" s="3"/>
      <c r="O47" s="3"/>
      <c r="P47" s="3"/>
      <c r="V47" s="3"/>
    </row>
    <row r="48" spans="2:35" x14ac:dyDescent="0.45">
      <c r="B48" t="s">
        <v>67</v>
      </c>
      <c r="C48" s="3"/>
      <c r="D48" s="3"/>
      <c r="E48" s="3">
        <v>1610</v>
      </c>
      <c r="F48" s="3">
        <v>1720</v>
      </c>
      <c r="G48" s="3">
        <v>1780</v>
      </c>
      <c r="H48" s="3">
        <v>1860</v>
      </c>
      <c r="I48" s="3">
        <v>2130</v>
      </c>
      <c r="J48" s="3">
        <v>2470</v>
      </c>
      <c r="K48" s="3">
        <v>2670</v>
      </c>
      <c r="L48" s="3">
        <v>2550</v>
      </c>
      <c r="M48" s="3"/>
      <c r="N48" s="3"/>
      <c r="O48" s="3"/>
      <c r="P48" s="3"/>
      <c r="V48" s="3">
        <f>H48</f>
        <v>1860</v>
      </c>
    </row>
    <row r="49" spans="2:35" x14ac:dyDescent="0.45">
      <c r="B49" s="8" t="s">
        <v>118</v>
      </c>
      <c r="C49" s="3"/>
      <c r="D49" s="3"/>
      <c r="E49" s="3"/>
      <c r="F49" s="3"/>
      <c r="G49" s="10"/>
      <c r="H49" s="10"/>
      <c r="I49" s="10">
        <f t="shared" ref="I49:L49" si="81">I48/E48-1</f>
        <v>0.32298136645962727</v>
      </c>
      <c r="J49" s="10">
        <f t="shared" si="81"/>
        <v>0.43604651162790709</v>
      </c>
      <c r="K49" s="10">
        <f t="shared" si="81"/>
        <v>0.5</v>
      </c>
      <c r="L49" s="10">
        <f t="shared" si="81"/>
        <v>0.37096774193548376</v>
      </c>
      <c r="M49" s="3"/>
      <c r="N49" s="3"/>
      <c r="O49" s="3"/>
      <c r="P49" s="3"/>
      <c r="V49" s="3"/>
    </row>
    <row r="50" spans="2:35" x14ac:dyDescent="0.45">
      <c r="M50" s="3"/>
      <c r="N50" s="3"/>
      <c r="O50" s="3"/>
      <c r="P50" s="3"/>
    </row>
    <row r="51" spans="2:35" x14ac:dyDescent="0.45">
      <c r="B51" t="s">
        <v>120</v>
      </c>
      <c r="C51" s="15">
        <f t="shared" ref="C51:K51" si="82">C36/C40</f>
        <v>586.02906704172528</v>
      </c>
      <c r="D51" s="15">
        <f t="shared" si="82"/>
        <v>517.00139192682445</v>
      </c>
      <c r="E51" s="15">
        <f t="shared" si="82"/>
        <v>482.87112561174553</v>
      </c>
      <c r="F51" s="15">
        <f t="shared" si="82"/>
        <v>464.77850399419026</v>
      </c>
      <c r="G51" s="15">
        <f t="shared" si="82"/>
        <v>453.47313237221493</v>
      </c>
      <c r="H51" s="15">
        <f t="shared" si="82"/>
        <v>433.53293413173651</v>
      </c>
      <c r="I51" s="15">
        <f t="shared" si="82"/>
        <v>420.56074766355141</v>
      </c>
      <c r="J51" s="15">
        <f t="shared" si="82"/>
        <v>412.8440366972477</v>
      </c>
      <c r="K51" s="15">
        <f t="shared" si="82"/>
        <v>430.37974683544303</v>
      </c>
      <c r="L51" s="15">
        <f>L36/L40</f>
        <v>415.41186891054031</v>
      </c>
      <c r="M51" s="1">
        <f>AVERAGE(I51:L51)</f>
        <v>419.79910002669561</v>
      </c>
      <c r="N51" s="1">
        <f>AVERAGE(J51:L51)</f>
        <v>419.54521748107703</v>
      </c>
      <c r="O51" s="1">
        <f>AVERAGE(K51:M51)</f>
        <v>421.86357192422633</v>
      </c>
      <c r="P51" s="1">
        <f>AVERAGE(L51:N51)</f>
        <v>418.25206213943767</v>
      </c>
      <c r="V51" s="1">
        <f>V36/V40</f>
        <v>456.63045352647009</v>
      </c>
      <c r="W51" s="1">
        <f>W36/W40</f>
        <v>419.96794137852072</v>
      </c>
      <c r="X51" s="1">
        <f>X36/X40</f>
        <v>419.91099866996274</v>
      </c>
      <c r="Y51" s="22">
        <v>420</v>
      </c>
      <c r="Z51" s="1">
        <f>Y51+($AI$51-$Y$51)/($AI$1-$Y$1)</f>
        <v>416</v>
      </c>
      <c r="AA51" s="1">
        <f t="shared" ref="AA51:AH51" si="83">Z51+($AI$51-$Y$51)/($AI$1-$Y$1)</f>
        <v>412</v>
      </c>
      <c r="AB51" s="1">
        <f t="shared" si="83"/>
        <v>408</v>
      </c>
      <c r="AC51" s="1">
        <f t="shared" si="83"/>
        <v>404</v>
      </c>
      <c r="AD51" s="1">
        <f t="shared" si="83"/>
        <v>400</v>
      </c>
      <c r="AE51" s="1">
        <f t="shared" si="83"/>
        <v>396</v>
      </c>
      <c r="AF51" s="1">
        <f t="shared" si="83"/>
        <v>392</v>
      </c>
      <c r="AG51" s="1">
        <f t="shared" si="83"/>
        <v>388</v>
      </c>
      <c r="AH51" s="1">
        <f t="shared" si="83"/>
        <v>384</v>
      </c>
      <c r="AI51" s="22">
        <v>380</v>
      </c>
    </row>
    <row r="52" spans="2:35" x14ac:dyDescent="0.45">
      <c r="B52" t="s">
        <v>119</v>
      </c>
      <c r="C52" s="16">
        <f t="shared" ref="C52:L52" si="84">C38/C40</f>
        <v>0.81504922644163147</v>
      </c>
      <c r="D52" s="16">
        <f t="shared" si="84"/>
        <v>0.82362298667727185</v>
      </c>
      <c r="E52" s="16">
        <f t="shared" si="84"/>
        <v>0.83523654159869498</v>
      </c>
      <c r="F52" s="16">
        <f t="shared" si="84"/>
        <v>0.83543936092955706</v>
      </c>
      <c r="G52" s="16">
        <f t="shared" si="84"/>
        <v>0.82306684141546527</v>
      </c>
      <c r="H52" s="16">
        <f t="shared" si="84"/>
        <v>0.82035928143712578</v>
      </c>
      <c r="I52" s="16">
        <f t="shared" si="84"/>
        <v>0.82658359293873318</v>
      </c>
      <c r="J52" s="16">
        <f t="shared" si="84"/>
        <v>0.83669724770642206</v>
      </c>
      <c r="K52" s="16">
        <f t="shared" si="84"/>
        <v>0.84303797468354436</v>
      </c>
      <c r="L52" s="16">
        <f t="shared" si="84"/>
        <v>0.85208148804251549</v>
      </c>
      <c r="M52" s="10">
        <v>0.85</v>
      </c>
      <c r="N52" s="10">
        <v>0.85</v>
      </c>
      <c r="O52" s="10">
        <v>0.85</v>
      </c>
      <c r="P52" s="10">
        <v>0.86</v>
      </c>
      <c r="V52" s="16">
        <f>V38/V40</f>
        <v>0.82779789618899813</v>
      </c>
      <c r="W52" s="16">
        <f t="shared" ref="W52:X52" si="85">W38/W40</f>
        <v>0.84016487291046482</v>
      </c>
      <c r="X52" s="16">
        <f t="shared" si="85"/>
        <v>0.85256739487956834</v>
      </c>
      <c r="Y52" s="16">
        <v>0.85</v>
      </c>
      <c r="Z52" s="16">
        <v>0.87</v>
      </c>
      <c r="AA52" s="16">
        <v>0.87</v>
      </c>
      <c r="AB52" s="16">
        <v>0.87</v>
      </c>
      <c r="AC52" s="16">
        <v>0.88</v>
      </c>
      <c r="AD52" s="16">
        <v>0.9</v>
      </c>
      <c r="AE52" s="16">
        <v>0.9</v>
      </c>
      <c r="AF52" s="16">
        <v>0.9</v>
      </c>
      <c r="AG52" s="16">
        <v>0.9</v>
      </c>
      <c r="AH52" s="16">
        <v>0.9</v>
      </c>
      <c r="AI52" s="16">
        <v>0.9</v>
      </c>
    </row>
    <row r="53" spans="2:35" x14ac:dyDescent="0.45">
      <c r="B53" t="s">
        <v>116</v>
      </c>
      <c r="C53" s="15">
        <f t="shared" ref="C53:L53" si="86">C5/(C40-C38)</f>
        <v>5.1432192648922683</v>
      </c>
      <c r="D53" s="15">
        <f t="shared" si="86"/>
        <v>5.2874859075535516</v>
      </c>
      <c r="E53" s="15">
        <f t="shared" si="86"/>
        <v>5.1386138613861387</v>
      </c>
      <c r="F53" s="15">
        <f t="shared" si="86"/>
        <v>4.8455428067078552</v>
      </c>
      <c r="G53" s="15">
        <f t="shared" si="86"/>
        <v>3.8</v>
      </c>
      <c r="H53" s="15">
        <f t="shared" si="86"/>
        <v>3.4933333333333332</v>
      </c>
      <c r="I53" s="15">
        <f t="shared" si="86"/>
        <v>3.317365269461078</v>
      </c>
      <c r="J53" s="15">
        <f t="shared" si="86"/>
        <v>3.2528089887640448</v>
      </c>
      <c r="K53" s="15">
        <f t="shared" si="86"/>
        <v>3.21505376344086</v>
      </c>
      <c r="L53" s="15">
        <f t="shared" si="86"/>
        <v>2.6227544910179641</v>
      </c>
      <c r="M53" s="1">
        <f>L53</f>
        <v>2.6227544910179641</v>
      </c>
      <c r="N53" s="1">
        <v>2.7</v>
      </c>
      <c r="O53" s="1">
        <v>2.75</v>
      </c>
      <c r="P53" s="1">
        <v>2.8</v>
      </c>
      <c r="V53" s="1">
        <f>V5/(V40-V38)</f>
        <v>4.2159022631684362</v>
      </c>
      <c r="W53" s="1">
        <f t="shared" ref="W53:X53" si="87">W5/(W40-W38)</f>
        <v>3.1074498567335245</v>
      </c>
      <c r="X53" s="1">
        <f t="shared" si="87"/>
        <v>2.7211006112443537</v>
      </c>
      <c r="Y53" s="22">
        <v>2.9</v>
      </c>
      <c r="Z53" s="1">
        <f>Y53+($AI$53-$Y$53)/($AI$1-$Y$1)</f>
        <v>2.9499999999999997</v>
      </c>
      <c r="AA53" s="1">
        <f t="shared" ref="AA53:AH53" si="88">Z53+($AI$53-$Y$53)/($AI$1-$Y$1)</f>
        <v>2.9999999999999996</v>
      </c>
      <c r="AB53" s="1">
        <f t="shared" si="88"/>
        <v>3.0499999999999994</v>
      </c>
      <c r="AC53" s="1">
        <f t="shared" si="88"/>
        <v>3.0999999999999992</v>
      </c>
      <c r="AD53" s="1">
        <f t="shared" si="88"/>
        <v>3.149999999999999</v>
      </c>
      <c r="AE53" s="1">
        <f t="shared" si="88"/>
        <v>3.1999999999999988</v>
      </c>
      <c r="AF53" s="1">
        <f t="shared" si="88"/>
        <v>3.2499999999999987</v>
      </c>
      <c r="AG53" s="1">
        <f t="shared" si="88"/>
        <v>3.2999999999999985</v>
      </c>
      <c r="AH53" s="1">
        <f t="shared" si="88"/>
        <v>3.3499999999999983</v>
      </c>
      <c r="AI53" s="22">
        <v>3.4</v>
      </c>
    </row>
    <row r="54" spans="2:35" x14ac:dyDescent="0.45">
      <c r="B54" t="s">
        <v>117</v>
      </c>
      <c r="C54" s="15">
        <f t="shared" ref="C54:L54" si="89">C7/C38</f>
        <v>1.6847857348288755</v>
      </c>
      <c r="D54" s="15">
        <f t="shared" si="89"/>
        <v>1.380975374215355</v>
      </c>
      <c r="E54" s="15">
        <f t="shared" si="89"/>
        <v>1.087890625</v>
      </c>
      <c r="F54" s="15">
        <f t="shared" si="89"/>
        <v>1.0848400556328233</v>
      </c>
      <c r="G54" s="15">
        <f t="shared" si="89"/>
        <v>1.0191082802547771</v>
      </c>
      <c r="H54" s="15">
        <f t="shared" si="89"/>
        <v>1.3401459854014599</v>
      </c>
      <c r="I54" s="15">
        <f t="shared" si="89"/>
        <v>1.0577889447236182</v>
      </c>
      <c r="J54" s="15">
        <f t="shared" si="89"/>
        <v>1.0098684210526316</v>
      </c>
      <c r="K54" s="15">
        <f t="shared" si="89"/>
        <v>1.082082082082082</v>
      </c>
      <c r="L54" s="15">
        <f t="shared" si="89"/>
        <v>1.161122661122661</v>
      </c>
      <c r="M54" s="1">
        <f>L54</f>
        <v>1.161122661122661</v>
      </c>
      <c r="N54" s="1">
        <v>1.1200000000000001</v>
      </c>
      <c r="O54" s="1">
        <v>1.0900000000000001</v>
      </c>
      <c r="P54" s="1">
        <v>1.04</v>
      </c>
      <c r="V54" s="1">
        <f>V7/V38</f>
        <v>1.141196566952754</v>
      </c>
      <c r="W54" s="1">
        <f t="shared" ref="W54:X54" si="90">W7/W38</f>
        <v>1.0795857181793405</v>
      </c>
      <c r="X54" s="1">
        <f t="shared" si="90"/>
        <v>1.2905026947434999</v>
      </c>
      <c r="Y54" s="22">
        <v>1.1000000000000001</v>
      </c>
      <c r="Z54" s="1">
        <f>Y54+($AI$54-$Y$54)/($AI$1-$Y$1)</f>
        <v>1.08</v>
      </c>
      <c r="AA54" s="1">
        <f t="shared" ref="AA54:AH54" si="91">Z54+($AI$54-$Y$54)/($AI$1-$Y$1)</f>
        <v>1.06</v>
      </c>
      <c r="AB54" s="1">
        <f t="shared" si="91"/>
        <v>1.04</v>
      </c>
      <c r="AC54" s="1">
        <f t="shared" si="91"/>
        <v>1.02</v>
      </c>
      <c r="AD54" s="1">
        <f t="shared" si="91"/>
        <v>1</v>
      </c>
      <c r="AE54" s="1">
        <f t="shared" si="91"/>
        <v>0.98</v>
      </c>
      <c r="AF54" s="1">
        <f t="shared" si="91"/>
        <v>0.96</v>
      </c>
      <c r="AG54" s="1">
        <f t="shared" si="91"/>
        <v>0.94</v>
      </c>
      <c r="AH54" s="1">
        <f t="shared" si="91"/>
        <v>0.91999999999999993</v>
      </c>
      <c r="AI54" s="22">
        <v>0.9</v>
      </c>
    </row>
    <row r="56" spans="2:35" x14ac:dyDescent="0.45">
      <c r="B56" t="s">
        <v>121</v>
      </c>
      <c r="C56" s="14">
        <f>C19/C36</f>
        <v>3.1324E-3</v>
      </c>
      <c r="D56" s="14">
        <f t="shared" ref="D56:L56" si="92">D19/D36</f>
        <v>2.9769230769230771E-3</v>
      </c>
      <c r="E56" s="14">
        <f t="shared" si="92"/>
        <v>2.3445945945945947E-3</v>
      </c>
      <c r="F56" s="14">
        <f t="shared" si="92"/>
        <v>2.33125E-3</v>
      </c>
      <c r="G56" s="14">
        <f t="shared" si="92"/>
        <v>2.1329479768786128E-3</v>
      </c>
      <c r="H56" s="14">
        <f t="shared" si="92"/>
        <v>2.1546961325966851E-3</v>
      </c>
      <c r="I56" s="14">
        <f t="shared" si="92"/>
        <v>1.8938271604938273E-3</v>
      </c>
      <c r="J56" s="14">
        <f t="shared" si="92"/>
        <v>1.8155555555555555E-3</v>
      </c>
      <c r="K56" s="14">
        <f t="shared" si="92"/>
        <v>1.9254901960784315E-3</v>
      </c>
      <c r="L56" s="14">
        <f t="shared" si="92"/>
        <v>1.5245202558635395E-3</v>
      </c>
    </row>
    <row r="57" spans="2:35" x14ac:dyDescent="0.45"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35" x14ac:dyDescent="0.45">
      <c r="B58" t="s">
        <v>122</v>
      </c>
      <c r="E58" s="27">
        <f>E48/E46</f>
        <v>8.139123401243617E-2</v>
      </c>
      <c r="F58" s="27">
        <f t="shared" ref="F58:L58" si="93">F48/F46</f>
        <v>6.9627170788973E-2</v>
      </c>
      <c r="G58" s="27">
        <f t="shared" si="93"/>
        <v>7.0147783251231527E-2</v>
      </c>
      <c r="H58" s="27">
        <f t="shared" si="93"/>
        <v>6.5311281997261134E-2</v>
      </c>
      <c r="I58" s="27">
        <f t="shared" si="93"/>
        <v>7.0651452832692058E-2</v>
      </c>
      <c r="J58" s="27">
        <f t="shared" si="93"/>
        <v>6.9874678208718774E-2</v>
      </c>
      <c r="K58" s="27">
        <f t="shared" si="93"/>
        <v>6.6703307684620766E-2</v>
      </c>
      <c r="L58" s="27">
        <f t="shared" si="93"/>
        <v>6.9822841652747727E-2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</vt:lpstr>
      <vt:lpstr>Model</vt:lpstr>
      <vt:lpstr>Revenue and costs build</vt:lpstr>
      <vt:lpstr>Rate</vt:lpstr>
      <vt:lpstr>ROIC</vt:lpstr>
      <vt:lpstr>TGR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Rangwala</dc:creator>
  <cp:lastModifiedBy>Sameer Rangwala</cp:lastModifiedBy>
  <cp:lastPrinted>2024-05-31T04:30:33Z</cp:lastPrinted>
  <dcterms:created xsi:type="dcterms:W3CDTF">2024-03-27T10:10:00Z</dcterms:created>
  <dcterms:modified xsi:type="dcterms:W3CDTF">2024-06-05T14:33:18Z</dcterms:modified>
</cp:coreProperties>
</file>