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09fdbd93d202da/Desktop/Models/India Equity/"/>
    </mc:Choice>
  </mc:AlternateContent>
  <xr:revisionPtr revIDLastSave="2692" documentId="8_{ECD46741-44BE-4015-A49B-BACA510E6C72}" xr6:coauthVersionLast="47" xr6:coauthVersionMax="47" xr10:uidLastSave="{E44AA381-8985-48F6-979E-F4D0F5B08E5B}"/>
  <bookViews>
    <workbookView xWindow="-98" yWindow="-98" windowWidth="21795" windowHeight="12975" activeTab="1" xr2:uid="{E0EEA45D-DD24-4904-AA45-E1B1A47AAD69}"/>
  </bookViews>
  <sheets>
    <sheet name="Main" sheetId="1" r:id="rId1"/>
    <sheet name="Model" sheetId="2" r:id="rId2"/>
    <sheet name="Revenue Bui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0" i="2" l="1"/>
  <c r="H6" i="1" l="1"/>
  <c r="AI5" i="2" l="1"/>
  <c r="AJ5" i="2"/>
  <c r="AK5" i="2"/>
  <c r="AL5" i="2"/>
  <c r="AM5" i="2"/>
  <c r="AN5" i="2"/>
  <c r="AO5" i="2"/>
  <c r="AP5" i="2"/>
  <c r="AQ5" i="2"/>
  <c r="AR5" i="2"/>
  <c r="AS5" i="2"/>
  <c r="AH5" i="2"/>
  <c r="AG11" i="2"/>
  <c r="AG12" i="2"/>
  <c r="AG13" i="2"/>
  <c r="AG14" i="2"/>
  <c r="AG15" i="2"/>
  <c r="AG10" i="2"/>
  <c r="AG9" i="2"/>
  <c r="AG6" i="2"/>
  <c r="AG5" i="2"/>
  <c r="Q5" i="2"/>
  <c r="R5" i="2"/>
  <c r="S5" i="2"/>
  <c r="P5" i="2"/>
  <c r="AF5" i="3"/>
  <c r="P13" i="3"/>
  <c r="Q13" i="3" s="1"/>
  <c r="P5" i="3"/>
  <c r="O10" i="3"/>
  <c r="O8" i="3"/>
  <c r="O6" i="3"/>
  <c r="O15" i="3"/>
  <c r="R11" i="3"/>
  <c r="S11" i="3" s="1"/>
  <c r="Q11" i="3"/>
  <c r="H4" i="1"/>
  <c r="H7" i="1"/>
  <c r="O33" i="2"/>
  <c r="O74" i="2"/>
  <c r="O72" i="2"/>
  <c r="O71" i="2"/>
  <c r="O66" i="2"/>
  <c r="O63" i="2"/>
  <c r="O57" i="2"/>
  <c r="O56" i="2"/>
  <c r="O51" i="2"/>
  <c r="O41" i="2"/>
  <c r="O45" i="2"/>
  <c r="O47" i="2"/>
  <c r="O25" i="2"/>
  <c r="O26" i="2"/>
  <c r="O27" i="2"/>
  <c r="O28" i="2"/>
  <c r="O29" i="2"/>
  <c r="O30" i="2"/>
  <c r="R30" i="2"/>
  <c r="Q30" i="2"/>
  <c r="R26" i="2"/>
  <c r="Q26" i="2"/>
  <c r="O22" i="2"/>
  <c r="O23" i="2"/>
  <c r="O21" i="2"/>
  <c r="O19" i="2"/>
  <c r="O16" i="2"/>
  <c r="P12" i="2"/>
  <c r="Q12" i="2" s="1"/>
  <c r="P14" i="2"/>
  <c r="Q14" i="2" s="1"/>
  <c r="R14" i="2" s="1"/>
  <c r="S14" i="2" s="1"/>
  <c r="P17" i="2"/>
  <c r="Q17" i="2" s="1"/>
  <c r="R17" i="2" s="1"/>
  <c r="S17" i="2" s="1"/>
  <c r="Q18" i="2"/>
  <c r="R18" i="2"/>
  <c r="S18" i="2"/>
  <c r="O7" i="2"/>
  <c r="O9" i="2" s="1"/>
  <c r="R12" i="2" l="1"/>
  <c r="AF5" i="2"/>
  <c r="AF13" i="3"/>
  <c r="AF11" i="3"/>
  <c r="AE16" i="3"/>
  <c r="AF14" i="3"/>
  <c r="AA14" i="3"/>
  <c r="AB14" i="3"/>
  <c r="AC14" i="3"/>
  <c r="AD14" i="3"/>
  <c r="AE14" i="3"/>
  <c r="Z14" i="3"/>
  <c r="AA12" i="3"/>
  <c r="AB12" i="3"/>
  <c r="AC12" i="3"/>
  <c r="AD12" i="3"/>
  <c r="AE12" i="3"/>
  <c r="Z12" i="3"/>
  <c r="AA10" i="3"/>
  <c r="AB10" i="3"/>
  <c r="AC10" i="3"/>
  <c r="AD10" i="3"/>
  <c r="AE10" i="3"/>
  <c r="Z10" i="3"/>
  <c r="AA6" i="3"/>
  <c r="AB6" i="3"/>
  <c r="AC6" i="3"/>
  <c r="AD6" i="3"/>
  <c r="AE6" i="3"/>
  <c r="Z6" i="3"/>
  <c r="AE8" i="3"/>
  <c r="Y13" i="3"/>
  <c r="Y11" i="3"/>
  <c r="Y9" i="3"/>
  <c r="Y5" i="3"/>
  <c r="Z13" i="3"/>
  <c r="Z11" i="3"/>
  <c r="Z9" i="3"/>
  <c r="Z5" i="3"/>
  <c r="AC13" i="3"/>
  <c r="AC11" i="3"/>
  <c r="AC9" i="3"/>
  <c r="AC5" i="3"/>
  <c r="AC15" i="3" s="1"/>
  <c r="AB13" i="3"/>
  <c r="AB11" i="3"/>
  <c r="AB9" i="3"/>
  <c r="AB5" i="3"/>
  <c r="AB15" i="3"/>
  <c r="AA13" i="3"/>
  <c r="AA11" i="3"/>
  <c r="AA5" i="3"/>
  <c r="AA15" i="3" s="1"/>
  <c r="J15" i="3"/>
  <c r="AF12" i="3" l="1"/>
  <c r="AH11" i="3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S12" i="2"/>
  <c r="Y15" i="3"/>
  <c r="Z15" i="3"/>
  <c r="AA16" i="3" s="1"/>
  <c r="AB16" i="3"/>
  <c r="AC16" i="3"/>
  <c r="Z16" i="3" l="1"/>
  <c r="AJ18" i="2"/>
  <c r="AK18" i="2" s="1"/>
  <c r="AL18" i="2" s="1"/>
  <c r="AM18" i="2" s="1"/>
  <c r="AN18" i="2" s="1"/>
  <c r="AO18" i="2" s="1"/>
  <c r="AP18" i="2" s="1"/>
  <c r="AQ18" i="2" s="1"/>
  <c r="AR18" i="2" s="1"/>
  <c r="AS18" i="2" s="1"/>
  <c r="F23" i="2"/>
  <c r="G23" i="2" s="1"/>
  <c r="H23" i="2" s="1"/>
  <c r="I23" i="2" s="1"/>
  <c r="J23" i="2" s="1"/>
  <c r="K23" i="2" s="1"/>
  <c r="L23" i="2" s="1"/>
  <c r="M23" i="2" s="1"/>
  <c r="N23" i="2" s="1"/>
  <c r="Y23" i="2"/>
  <c r="Z23" i="2"/>
  <c r="AA23" i="2"/>
  <c r="AB23" i="2"/>
  <c r="AC23" i="2"/>
  <c r="AD23" i="2"/>
  <c r="AE23" i="2"/>
  <c r="AF23" i="2"/>
  <c r="AG17" i="2"/>
  <c r="AG18" i="2"/>
  <c r="AG20" i="2"/>
  <c r="AH18" i="2"/>
  <c r="Q6" i="2"/>
  <c r="R6" i="2" s="1"/>
  <c r="Q9" i="3"/>
  <c r="R9" i="3"/>
  <c r="P9" i="3"/>
  <c r="Q7" i="3"/>
  <c r="R7" i="3"/>
  <c r="P7" i="3"/>
  <c r="P15" i="3" s="1"/>
  <c r="Q5" i="3"/>
  <c r="Q15" i="3" s="1"/>
  <c r="R5" i="3"/>
  <c r="I10" i="3"/>
  <c r="J10" i="3"/>
  <c r="K10" i="3"/>
  <c r="L10" i="3"/>
  <c r="M10" i="3"/>
  <c r="N10" i="3"/>
  <c r="H10" i="3"/>
  <c r="L8" i="3"/>
  <c r="M8" i="3"/>
  <c r="N8" i="3"/>
  <c r="K8" i="3"/>
  <c r="I6" i="3"/>
  <c r="J6" i="3"/>
  <c r="K6" i="3"/>
  <c r="L6" i="3"/>
  <c r="M6" i="3"/>
  <c r="N6" i="3"/>
  <c r="H6" i="3"/>
  <c r="R13" i="3" l="1"/>
  <c r="R15" i="3" s="1"/>
  <c r="S9" i="3"/>
  <c r="AG9" i="3" s="1"/>
  <c r="AF9" i="3"/>
  <c r="AF10" i="3" s="1"/>
  <c r="S7" i="3"/>
  <c r="AG7" i="3" s="1"/>
  <c r="AF7" i="3"/>
  <c r="AF8" i="3" s="1"/>
  <c r="P23" i="2"/>
  <c r="AG23" i="2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H17" i="2"/>
  <c r="AH14" i="2"/>
  <c r="AH12" i="2"/>
  <c r="Q7" i="2"/>
  <c r="S5" i="3"/>
  <c r="Q23" i="2"/>
  <c r="S6" i="2"/>
  <c r="S13" i="3" l="1"/>
  <c r="AG13" i="3" s="1"/>
  <c r="AG11" i="3"/>
  <c r="AH13" i="3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G14" i="3"/>
  <c r="AH9" i="3"/>
  <c r="AG10" i="3"/>
  <c r="AH7" i="3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G8" i="3"/>
  <c r="AF6" i="3"/>
  <c r="AF15" i="3"/>
  <c r="Q15" i="2"/>
  <c r="Q10" i="2"/>
  <c r="Q13" i="2"/>
  <c r="AG5" i="3"/>
  <c r="AH5" i="3" s="1"/>
  <c r="P7" i="2"/>
  <c r="R23" i="2"/>
  <c r="S15" i="3" l="1"/>
  <c r="S16" i="3" s="1"/>
  <c r="P10" i="2"/>
  <c r="P11" i="2"/>
  <c r="P15" i="2"/>
  <c r="P13" i="2"/>
  <c r="AF16" i="3"/>
  <c r="AG7" i="2"/>
  <c r="AH6" i="2"/>
  <c r="AG6" i="3"/>
  <c r="AG15" i="3"/>
  <c r="S7" i="2"/>
  <c r="R7" i="2"/>
  <c r="P9" i="2"/>
  <c r="S23" i="2"/>
  <c r="AG28" i="2" l="1"/>
  <c r="AG27" i="2"/>
  <c r="S10" i="2"/>
  <c r="S11" i="2"/>
  <c r="S15" i="2"/>
  <c r="S13" i="2"/>
  <c r="R15" i="2"/>
  <c r="AH15" i="2" s="1"/>
  <c r="R13" i="2"/>
  <c r="R10" i="2"/>
  <c r="AH10" i="2" s="1"/>
  <c r="AG30" i="2"/>
  <c r="P16" i="2"/>
  <c r="P19" i="2" s="1"/>
  <c r="AG29" i="2"/>
  <c r="AH7" i="2"/>
  <c r="AH25" i="2" s="1"/>
  <c r="AG16" i="3"/>
  <c r="AH15" i="3"/>
  <c r="AH13" i="2" l="1"/>
  <c r="AH16" i="3"/>
  <c r="AI7" i="2"/>
  <c r="AI25" i="2" s="1"/>
  <c r="AH29" i="2"/>
  <c r="AH28" i="2"/>
  <c r="AH27" i="2"/>
  <c r="AI9" i="2" l="1"/>
  <c r="AI13" i="2" s="1"/>
  <c r="AI10" i="2"/>
  <c r="AI11" i="2"/>
  <c r="AI15" i="2"/>
  <c r="P21" i="2"/>
  <c r="P33" i="2" s="1"/>
  <c r="P22" i="2" l="1"/>
  <c r="Q9" i="2"/>
  <c r="Q11" i="2"/>
  <c r="N15" i="3"/>
  <c r="M15" i="3"/>
  <c r="L15" i="3"/>
  <c r="K15" i="3"/>
  <c r="I15" i="3"/>
  <c r="H15" i="3"/>
  <c r="G15" i="3"/>
  <c r="F15" i="3"/>
  <c r="J16" i="3" s="1"/>
  <c r="E15" i="3"/>
  <c r="D15" i="3"/>
  <c r="D5" i="2" s="1"/>
  <c r="D7" i="2" s="1"/>
  <c r="AE13" i="3"/>
  <c r="AD13" i="3"/>
  <c r="AE11" i="3"/>
  <c r="AD11" i="3"/>
  <c r="AE9" i="3"/>
  <c r="AD9" i="3"/>
  <c r="AE7" i="3"/>
  <c r="AD7" i="3"/>
  <c r="AE5" i="3"/>
  <c r="AE15" i="3" s="1"/>
  <c r="AD5" i="3"/>
  <c r="AD15" i="3" s="1"/>
  <c r="AH1" i="3"/>
  <c r="AI1" i="3" s="1"/>
  <c r="AJ1" i="3" s="1"/>
  <c r="AK1" i="3" s="1"/>
  <c r="AL1" i="3" s="1"/>
  <c r="H5" i="1"/>
  <c r="H8" i="1" s="1"/>
  <c r="D23" i="2"/>
  <c r="AM1" i="3" l="1"/>
  <c r="AN1" i="3" s="1"/>
  <c r="AO1" i="3" s="1"/>
  <c r="AP1" i="3" s="1"/>
  <c r="AQ1" i="3" s="1"/>
  <c r="AR1" i="3" s="1"/>
  <c r="AI10" i="3"/>
  <c r="AI8" i="3"/>
  <c r="AJ8" i="3" s="1"/>
  <c r="AK8" i="3" s="1"/>
  <c r="AI6" i="3"/>
  <c r="AJ6" i="3" s="1"/>
  <c r="AK6" i="3" s="1"/>
  <c r="R11" i="2"/>
  <c r="Q16" i="2"/>
  <c r="Q19" i="2" s="1"/>
  <c r="L16" i="3"/>
  <c r="P16" i="3"/>
  <c r="I16" i="3"/>
  <c r="N16" i="3"/>
  <c r="R16" i="3"/>
  <c r="H16" i="3"/>
  <c r="K16" i="3"/>
  <c r="O16" i="3"/>
  <c r="M16" i="3"/>
  <c r="Q16" i="3"/>
  <c r="D27" i="2"/>
  <c r="D30" i="2"/>
  <c r="E5" i="2"/>
  <c r="E7" i="2" s="1"/>
  <c r="E29" i="2" s="1"/>
  <c r="D29" i="2"/>
  <c r="D28" i="2"/>
  <c r="D9" i="2"/>
  <c r="D26" i="2" s="1"/>
  <c r="Y8" i="2"/>
  <c r="Z8" i="2"/>
  <c r="AA8" i="2"/>
  <c r="AD8" i="2"/>
  <c r="AI1" i="2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B7" i="2"/>
  <c r="AA7" i="2"/>
  <c r="Z7" i="2"/>
  <c r="Y7" i="2"/>
  <c r="AF20" i="2"/>
  <c r="AF18" i="2"/>
  <c r="AF17" i="2"/>
  <c r="AF11" i="2"/>
  <c r="AF12" i="2"/>
  <c r="AI12" i="2" s="1"/>
  <c r="AF13" i="2"/>
  <c r="AF14" i="2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F10" i="2"/>
  <c r="AF6" i="2"/>
  <c r="AD7" i="2"/>
  <c r="AC7" i="2"/>
  <c r="AC30" i="2" s="1"/>
  <c r="AE7" i="2"/>
  <c r="AE30" i="2" s="1"/>
  <c r="AI5" i="3" l="1"/>
  <c r="AJ10" i="3"/>
  <c r="AK10" i="3" s="1"/>
  <c r="AI9" i="3"/>
  <c r="AJ9" i="3" s="1"/>
  <c r="AK9" i="3" s="1"/>
  <c r="AL9" i="3" s="1"/>
  <c r="AM9" i="3" s="1"/>
  <c r="AN9" i="3" s="1"/>
  <c r="AO9" i="3" s="1"/>
  <c r="AP9" i="3" s="1"/>
  <c r="AQ9" i="3" s="1"/>
  <c r="AR9" i="3" s="1"/>
  <c r="AJ12" i="2"/>
  <c r="AI16" i="2"/>
  <c r="AI19" i="2" s="1"/>
  <c r="AI20" i="2" s="1"/>
  <c r="AI21" i="2" s="1"/>
  <c r="AJ31" i="2"/>
  <c r="AK31" i="2" s="1"/>
  <c r="AL31" i="2" s="1"/>
  <c r="AM31" i="2" s="1"/>
  <c r="AN31" i="2" s="1"/>
  <c r="AO31" i="2" s="1"/>
  <c r="AP31" i="2" s="1"/>
  <c r="AQ31" i="2" s="1"/>
  <c r="AR31" i="2" s="1"/>
  <c r="AJ17" i="2"/>
  <c r="AK17" i="2" s="1"/>
  <c r="AL17" i="2" s="1"/>
  <c r="AM17" i="2" s="1"/>
  <c r="AN17" i="2" s="1"/>
  <c r="AO17" i="2" s="1"/>
  <c r="AP17" i="2" s="1"/>
  <c r="AQ17" i="2" s="1"/>
  <c r="AR17" i="2" s="1"/>
  <c r="AH11" i="2"/>
  <c r="AH30" i="2" s="1"/>
  <c r="AD16" i="3"/>
  <c r="Z29" i="2"/>
  <c r="Z30" i="2"/>
  <c r="AB29" i="2"/>
  <c r="AB30" i="2"/>
  <c r="AD29" i="2"/>
  <c r="AD30" i="2"/>
  <c r="Y29" i="2"/>
  <c r="Y30" i="2"/>
  <c r="AA29" i="2"/>
  <c r="AA30" i="2"/>
  <c r="R9" i="2"/>
  <c r="R16" i="2" s="1"/>
  <c r="R19" i="2" s="1"/>
  <c r="S9" i="2"/>
  <c r="E9" i="2"/>
  <c r="E26" i="2" s="1"/>
  <c r="E28" i="2"/>
  <c r="D16" i="2"/>
  <c r="D19" i="2" s="1"/>
  <c r="D21" i="2" s="1"/>
  <c r="D22" i="2" s="1"/>
  <c r="E27" i="2"/>
  <c r="E30" i="2"/>
  <c r="AE28" i="2"/>
  <c r="AE29" i="2"/>
  <c r="AC28" i="2"/>
  <c r="AC29" i="2"/>
  <c r="AB27" i="2"/>
  <c r="AB28" i="2"/>
  <c r="Z27" i="2"/>
  <c r="Z28" i="2"/>
  <c r="Y27" i="2"/>
  <c r="Y28" i="2"/>
  <c r="AD27" i="2"/>
  <c r="AD28" i="2"/>
  <c r="AA27" i="2"/>
  <c r="AA28" i="2"/>
  <c r="AE9" i="2"/>
  <c r="AE16" i="2" s="1"/>
  <c r="AE19" i="2" s="1"/>
  <c r="AE27" i="2"/>
  <c r="AC9" i="2"/>
  <c r="AC16" i="2" s="1"/>
  <c r="AC19" i="2" s="1"/>
  <c r="AC27" i="2"/>
  <c r="Z25" i="2"/>
  <c r="AD25" i="2"/>
  <c r="AA25" i="2"/>
  <c r="AB25" i="2"/>
  <c r="AC25" i="2"/>
  <c r="AE25" i="2"/>
  <c r="AF7" i="2"/>
  <c r="Y9" i="2"/>
  <c r="Z9" i="2"/>
  <c r="AA9" i="2"/>
  <c r="AB9" i="2"/>
  <c r="AD9" i="2"/>
  <c r="AD16" i="2" s="1"/>
  <c r="AD19" i="2" s="1"/>
  <c r="AD31" i="2" s="1"/>
  <c r="AI22" i="2" l="1"/>
  <c r="AJ5" i="3"/>
  <c r="AI15" i="3"/>
  <c r="S16" i="2"/>
  <c r="S19" i="2" s="1"/>
  <c r="S21" i="2" s="1"/>
  <c r="S22" i="2" s="1"/>
  <c r="AC21" i="2"/>
  <c r="AC22" i="2" s="1"/>
  <c r="AC31" i="2"/>
  <c r="AE21" i="2"/>
  <c r="AE22" i="2" s="1"/>
  <c r="AE31" i="2"/>
  <c r="AK12" i="2"/>
  <c r="AF29" i="2"/>
  <c r="AG25" i="2"/>
  <c r="E16" i="2"/>
  <c r="E19" i="2" s="1"/>
  <c r="E21" i="2" s="1"/>
  <c r="E22" i="2" s="1"/>
  <c r="AH9" i="2"/>
  <c r="AH26" i="2" s="1"/>
  <c r="Q21" i="2"/>
  <c r="Q33" i="2" s="1"/>
  <c r="AC26" i="2"/>
  <c r="AF30" i="2"/>
  <c r="AE26" i="2"/>
  <c r="AF25" i="2"/>
  <c r="AF28" i="2"/>
  <c r="AF27" i="2"/>
  <c r="AF9" i="2"/>
  <c r="AF16" i="2" s="1"/>
  <c r="AF19" i="2" s="1"/>
  <c r="AA26" i="2"/>
  <c r="AA16" i="2"/>
  <c r="AA19" i="2" s="1"/>
  <c r="Z26" i="2"/>
  <c r="Z16" i="2"/>
  <c r="Z19" i="2" s="1"/>
  <c r="AB26" i="2"/>
  <c r="AB16" i="2"/>
  <c r="AB19" i="2" s="1"/>
  <c r="Y26" i="2"/>
  <c r="Y16" i="2"/>
  <c r="Y19" i="2" s="1"/>
  <c r="AD26" i="2"/>
  <c r="AD21" i="2"/>
  <c r="AD22" i="2" s="1"/>
  <c r="AI16" i="3" l="1"/>
  <c r="AJ7" i="2"/>
  <c r="AK5" i="3"/>
  <c r="AJ15" i="3"/>
  <c r="Y21" i="2"/>
  <c r="Y22" i="2" s="1"/>
  <c r="Y31" i="2"/>
  <c r="AB21" i="2"/>
  <c r="AB22" i="2" s="1"/>
  <c r="AB31" i="2"/>
  <c r="AL12" i="2"/>
  <c r="AM12" i="2" s="1"/>
  <c r="AN12" i="2" s="1"/>
  <c r="AO12" i="2" s="1"/>
  <c r="AP12" i="2" s="1"/>
  <c r="AQ12" i="2" s="1"/>
  <c r="AR12" i="2" s="1"/>
  <c r="AS12" i="2" s="1"/>
  <c r="Z21" i="2"/>
  <c r="Z22" i="2" s="1"/>
  <c r="Z31" i="2"/>
  <c r="AA21" i="2"/>
  <c r="AA22" i="2" s="1"/>
  <c r="AA31" i="2"/>
  <c r="AF21" i="2"/>
  <c r="AF22" i="2" s="1"/>
  <c r="AF31" i="2"/>
  <c r="E31" i="2"/>
  <c r="Q22" i="2"/>
  <c r="AH16" i="2"/>
  <c r="AF26" i="2"/>
  <c r="G7" i="2"/>
  <c r="G30" i="2" s="1"/>
  <c r="F7" i="2"/>
  <c r="F30" i="2" s="1"/>
  <c r="AJ16" i="3" l="1"/>
  <c r="AK7" i="2"/>
  <c r="AL5" i="3"/>
  <c r="AK15" i="3"/>
  <c r="AJ25" i="2"/>
  <c r="AJ9" i="2"/>
  <c r="AJ10" i="2"/>
  <c r="AJ11" i="2"/>
  <c r="R21" i="2"/>
  <c r="R33" i="2" s="1"/>
  <c r="S33" i="2" s="1"/>
  <c r="AH33" i="2" s="1"/>
  <c r="AH19" i="2"/>
  <c r="F28" i="2"/>
  <c r="F29" i="2"/>
  <c r="G28" i="2"/>
  <c r="G29" i="2"/>
  <c r="F9" i="2"/>
  <c r="F16" i="2" s="1"/>
  <c r="F19" i="2" s="1"/>
  <c r="F31" i="2" s="1"/>
  <c r="F27" i="2"/>
  <c r="G9" i="2"/>
  <c r="G27" i="2"/>
  <c r="G16" i="2"/>
  <c r="G19" i="2" s="1"/>
  <c r="G31" i="2" s="1"/>
  <c r="G26" i="2"/>
  <c r="H7" i="2"/>
  <c r="M7" i="2"/>
  <c r="L7" i="2"/>
  <c r="K7" i="2"/>
  <c r="J7" i="2"/>
  <c r="J30" i="2" s="1"/>
  <c r="I7" i="2"/>
  <c r="N7" i="2"/>
  <c r="AM5" i="3" l="1"/>
  <c r="AL15" i="3"/>
  <c r="AJ15" i="2"/>
  <c r="AJ13" i="2"/>
  <c r="AJ16" i="2"/>
  <c r="AJ19" i="2" s="1"/>
  <c r="AJ20" i="2" s="1"/>
  <c r="AJ21" i="2" s="1"/>
  <c r="AK16" i="3"/>
  <c r="AK25" i="2"/>
  <c r="AK11" i="2"/>
  <c r="AK10" i="2"/>
  <c r="AK9" i="2"/>
  <c r="F26" i="2"/>
  <c r="R22" i="2"/>
  <c r="N29" i="2"/>
  <c r="S25" i="2"/>
  <c r="N30" i="2"/>
  <c r="I29" i="2"/>
  <c r="I30" i="2"/>
  <c r="P25" i="2"/>
  <c r="K30" i="2"/>
  <c r="L29" i="2"/>
  <c r="Q25" i="2"/>
  <c r="L30" i="2"/>
  <c r="M29" i="2"/>
  <c r="R25" i="2"/>
  <c r="M30" i="2"/>
  <c r="H29" i="2"/>
  <c r="H30" i="2"/>
  <c r="J28" i="2"/>
  <c r="J29" i="2"/>
  <c r="K28" i="2"/>
  <c r="K29" i="2"/>
  <c r="M27" i="2"/>
  <c r="M28" i="2"/>
  <c r="L27" i="2"/>
  <c r="L28" i="2"/>
  <c r="H27" i="2"/>
  <c r="H28" i="2"/>
  <c r="N27" i="2"/>
  <c r="N28" i="2"/>
  <c r="I27" i="2"/>
  <c r="I28" i="2"/>
  <c r="K9" i="2"/>
  <c r="K16" i="2" s="1"/>
  <c r="K19" i="2" s="1"/>
  <c r="K31" i="2" s="1"/>
  <c r="K27" i="2"/>
  <c r="J9" i="2"/>
  <c r="J16" i="2" s="1"/>
  <c r="J19" i="2" s="1"/>
  <c r="J31" i="2" s="1"/>
  <c r="J27" i="2"/>
  <c r="I9" i="2"/>
  <c r="I16" i="2" s="1"/>
  <c r="I19" i="2" s="1"/>
  <c r="I31" i="2" s="1"/>
  <c r="I25" i="2"/>
  <c r="H9" i="2"/>
  <c r="H16" i="2" s="1"/>
  <c r="H19" i="2" s="1"/>
  <c r="H31" i="2" s="1"/>
  <c r="P31" i="2" s="1"/>
  <c r="H25" i="2"/>
  <c r="G21" i="2"/>
  <c r="G22" i="2" s="1"/>
  <c r="F21" i="2"/>
  <c r="F22" i="2" s="1"/>
  <c r="K25" i="2"/>
  <c r="L9" i="2"/>
  <c r="L25" i="2"/>
  <c r="M9" i="2"/>
  <c r="M25" i="2"/>
  <c r="N9" i="2"/>
  <c r="N25" i="2"/>
  <c r="J25" i="2"/>
  <c r="AJ22" i="2" l="1"/>
  <c r="AK13" i="2"/>
  <c r="AK15" i="2"/>
  <c r="AK16" i="2"/>
  <c r="AK19" i="2" s="1"/>
  <c r="AK20" i="2" s="1"/>
  <c r="AK21" i="2" s="1"/>
  <c r="AK22" i="2" s="1"/>
  <c r="AL16" i="3"/>
  <c r="AN5" i="3"/>
  <c r="AM15" i="3"/>
  <c r="AH20" i="2"/>
  <c r="AG26" i="2"/>
  <c r="I26" i="2"/>
  <c r="J26" i="2"/>
  <c r="K26" i="2"/>
  <c r="H26" i="2"/>
  <c r="I21" i="2"/>
  <c r="I22" i="2" s="1"/>
  <c r="H21" i="2"/>
  <c r="H22" i="2" s="1"/>
  <c r="K21" i="2"/>
  <c r="K22" i="2" s="1"/>
  <c r="J21" i="2"/>
  <c r="J22" i="2" s="1"/>
  <c r="L16" i="2"/>
  <c r="L26" i="2"/>
  <c r="N16" i="2"/>
  <c r="N19" i="2" s="1"/>
  <c r="N26" i="2"/>
  <c r="M16" i="2"/>
  <c r="M19" i="2" s="1"/>
  <c r="M26" i="2"/>
  <c r="AM16" i="3" l="1"/>
  <c r="AO5" i="3"/>
  <c r="AN15" i="3"/>
  <c r="L19" i="2"/>
  <c r="AG19" i="2" s="1"/>
  <c r="AG16" i="2"/>
  <c r="AH21" i="2"/>
  <c r="N21" i="2"/>
  <c r="N22" i="2" s="1"/>
  <c r="L21" i="2"/>
  <c r="M21" i="2"/>
  <c r="M22" i="2" s="1"/>
  <c r="AN16" i="3" l="1"/>
  <c r="AP5" i="3"/>
  <c r="AO15" i="3"/>
  <c r="L22" i="2"/>
  <c r="AG21" i="2"/>
  <c r="AG22" i="2" s="1"/>
  <c r="AI33" i="2"/>
  <c r="AJ33" i="2" s="1"/>
  <c r="AK33" i="2" s="1"/>
  <c r="AL7" i="2" s="1"/>
  <c r="AL25" i="2" s="1"/>
  <c r="AH22" i="2"/>
  <c r="AQ5" i="3" l="1"/>
  <c r="AP15" i="3"/>
  <c r="AO16" i="3"/>
  <c r="AL9" i="2"/>
  <c r="AL13" i="2" s="1"/>
  <c r="AL11" i="2"/>
  <c r="AL10" i="2"/>
  <c r="AL15" i="2" l="1"/>
  <c r="AP16" i="3"/>
  <c r="AR5" i="3"/>
  <c r="AR15" i="3" s="1"/>
  <c r="AQ15" i="3"/>
  <c r="AL16" i="2"/>
  <c r="AL19" i="2" s="1"/>
  <c r="AL20" i="2" s="1"/>
  <c r="AL21" i="2" s="1"/>
  <c r="AL22" i="2" l="1"/>
  <c r="AQ16" i="3"/>
  <c r="AR16" i="3"/>
  <c r="AL33" i="2"/>
  <c r="AM6" i="2" s="1"/>
  <c r="AM7" i="2" s="1"/>
  <c r="AM25" i="2" s="1"/>
  <c r="AM11" i="2" l="1"/>
  <c r="AM10" i="2"/>
  <c r="AM9" i="2"/>
  <c r="AM15" i="2" s="1"/>
  <c r="AM13" i="2" l="1"/>
  <c r="AM16" i="2" s="1"/>
  <c r="AM19" i="2" s="1"/>
  <c r="AM20" i="2" s="1"/>
  <c r="AM21" i="2" s="1"/>
  <c r="AM22" i="2" l="1"/>
  <c r="AM33" i="2"/>
  <c r="AN6" i="2" s="1"/>
  <c r="AN7" i="2" s="1"/>
  <c r="AN25" i="2" s="1"/>
  <c r="AN11" i="2" l="1"/>
  <c r="AN10" i="2"/>
  <c r="AN9" i="2"/>
  <c r="AN15" i="2" s="1"/>
  <c r="AN13" i="2" l="1"/>
  <c r="AN16" i="2" s="1"/>
  <c r="AN19" i="2" s="1"/>
  <c r="AN20" i="2" s="1"/>
  <c r="AN21" i="2" s="1"/>
  <c r="AN33" i="2" l="1"/>
  <c r="AN22" i="2"/>
  <c r="AO6" i="2" l="1"/>
  <c r="AO7" i="2" s="1"/>
  <c r="AO25" i="2" l="1"/>
  <c r="AO9" i="2"/>
  <c r="AO15" i="2" s="1"/>
  <c r="AO10" i="2"/>
  <c r="AO11" i="2"/>
  <c r="AO13" i="2" l="1"/>
  <c r="AO16" i="2" s="1"/>
  <c r="AO19" i="2" s="1"/>
  <c r="AO20" i="2" l="1"/>
  <c r="AO21" i="2" s="1"/>
  <c r="AO22" i="2" l="1"/>
  <c r="AO33" i="2"/>
  <c r="AP6" i="2" s="1"/>
  <c r="AP7" i="2" s="1"/>
  <c r="AP25" i="2" s="1"/>
  <c r="AP10" i="2" l="1"/>
  <c r="AP11" i="2"/>
  <c r="AP9" i="2"/>
  <c r="AP13" i="2" l="1"/>
  <c r="AP15" i="2"/>
  <c r="AP16" i="2" l="1"/>
  <c r="AP19" i="2" s="1"/>
  <c r="AP20" i="2" s="1"/>
  <c r="AP21" i="2" s="1"/>
  <c r="AP33" i="2" l="1"/>
  <c r="AP22" i="2"/>
  <c r="AQ6" i="2" l="1"/>
  <c r="AQ7" i="2" s="1"/>
  <c r="AQ25" i="2" l="1"/>
  <c r="AQ9" i="2"/>
  <c r="AQ15" i="2" s="1"/>
  <c r="AQ10" i="2"/>
  <c r="AQ11" i="2"/>
  <c r="AQ13" i="2"/>
  <c r="AQ16" i="2" l="1"/>
  <c r="AQ19" i="2" s="1"/>
  <c r="AQ20" i="2" l="1"/>
  <c r="AQ21" i="2" s="1"/>
  <c r="AQ22" i="2" s="1"/>
  <c r="AQ33" i="2" l="1"/>
  <c r="AR6" i="2" s="1"/>
  <c r="AR7" i="2" s="1"/>
  <c r="AR25" i="2" s="1"/>
  <c r="AR9" i="2" l="1"/>
  <c r="AR11" i="2"/>
  <c r="AR10" i="2"/>
  <c r="AR13" i="2" l="1"/>
  <c r="AR15" i="2"/>
  <c r="AR16" i="2" l="1"/>
  <c r="AR19" i="2" s="1"/>
  <c r="AR20" i="2" s="1"/>
  <c r="AR21" i="2" l="1"/>
  <c r="AR22" i="2" s="1"/>
  <c r="AR33" i="2" l="1"/>
  <c r="AS6" i="2" s="1"/>
  <c r="AS7" i="2" s="1"/>
  <c r="AS25" i="2" s="1"/>
  <c r="AS9" i="2" l="1"/>
  <c r="AS11" i="2"/>
  <c r="AS10" i="2"/>
  <c r="AS15" i="2" l="1"/>
  <c r="AS13" i="2"/>
  <c r="AS16" i="2" l="1"/>
  <c r="AS19" i="2" s="1"/>
  <c r="AS20" i="2" s="1"/>
  <c r="AS21" i="2" s="1"/>
  <c r="AT21" i="2" l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AS22" i="2"/>
  <c r="AS33" i="2"/>
  <c r="AY31" i="2" l="1"/>
  <c r="AY32" i="2" s="1"/>
</calcChain>
</file>

<file path=xl/sharedStrings.xml><?xml version="1.0" encoding="utf-8"?>
<sst xmlns="http://schemas.openxmlformats.org/spreadsheetml/2006/main" count="181" uniqueCount="133">
  <si>
    <t>UPL Ltd</t>
  </si>
  <si>
    <t>UPL</t>
  </si>
  <si>
    <t>Price</t>
  </si>
  <si>
    <t>Debt</t>
  </si>
  <si>
    <t>Cash</t>
  </si>
  <si>
    <t>Market Cap</t>
  </si>
  <si>
    <t>EV</t>
  </si>
  <si>
    <t>Shares</t>
  </si>
  <si>
    <t>Management</t>
  </si>
  <si>
    <t>Notes</t>
  </si>
  <si>
    <t>IS</t>
  </si>
  <si>
    <t>Revenue</t>
  </si>
  <si>
    <t>Other Income</t>
  </si>
  <si>
    <t>Revenue breakdown</t>
  </si>
  <si>
    <t>COGS</t>
  </si>
  <si>
    <t>Gross Profit</t>
  </si>
  <si>
    <t>Employee Benefits</t>
  </si>
  <si>
    <t>Finance</t>
  </si>
  <si>
    <t>D&amp;A</t>
  </si>
  <si>
    <t>TR writeback</t>
  </si>
  <si>
    <t>Exchange diff on TR</t>
  </si>
  <si>
    <t>Other</t>
  </si>
  <si>
    <t>Operating Profit</t>
  </si>
  <si>
    <t>Joint ventures</t>
  </si>
  <si>
    <t>Exceptional items</t>
  </si>
  <si>
    <t>Pretax Income</t>
  </si>
  <si>
    <t>Taxes</t>
  </si>
  <si>
    <t>Net Income</t>
  </si>
  <si>
    <t>EPS</t>
  </si>
  <si>
    <t>Q324</t>
  </si>
  <si>
    <t>Operating Revenue</t>
  </si>
  <si>
    <t>Q224</t>
  </si>
  <si>
    <t>Q323</t>
  </si>
  <si>
    <t>Q124</t>
  </si>
  <si>
    <t>Q423</t>
  </si>
  <si>
    <t>Q223</t>
  </si>
  <si>
    <t>Q123</t>
  </si>
  <si>
    <t>Q422</t>
  </si>
  <si>
    <t>Q322</t>
  </si>
  <si>
    <t>Revenue Growth</t>
  </si>
  <si>
    <t>Gross Margin</t>
  </si>
  <si>
    <t>Q424</t>
  </si>
  <si>
    <t>Q125</t>
  </si>
  <si>
    <t>Q225</t>
  </si>
  <si>
    <t>Q325</t>
  </si>
  <si>
    <t>Q425</t>
  </si>
  <si>
    <t>FY23</t>
  </si>
  <si>
    <t>FY22</t>
  </si>
  <si>
    <t>FY21</t>
  </si>
  <si>
    <t>FY20</t>
  </si>
  <si>
    <t>FY19</t>
  </si>
  <si>
    <t>FY18</t>
  </si>
  <si>
    <t>FY17</t>
  </si>
  <si>
    <t>FY16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</si>
  <si>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</si>
  <si>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</si>
  <si>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</si>
  <si>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</si>
  <si>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</si>
  <si>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</si>
  <si>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</si>
  <si>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</si>
  <si>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</si>
  <si>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</si>
  <si>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</si>
  <si>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</si>
  <si>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BS</t>
  </si>
  <si>
    <t>PPE</t>
  </si>
  <si>
    <t>Capital WIP</t>
  </si>
  <si>
    <t>Goodwill</t>
  </si>
  <si>
    <t>Right of use assets</t>
  </si>
  <si>
    <t>Intangibles</t>
  </si>
  <si>
    <t>dev. Intang.</t>
  </si>
  <si>
    <t>investments</t>
  </si>
  <si>
    <t>loans</t>
  </si>
  <si>
    <t>TR</t>
  </si>
  <si>
    <t>Other fin assets</t>
  </si>
  <si>
    <t>Non current tax</t>
  </si>
  <si>
    <t>Other NCA</t>
  </si>
  <si>
    <t>Non Current Assets</t>
  </si>
  <si>
    <t>Inventories</t>
  </si>
  <si>
    <t>Investments</t>
  </si>
  <si>
    <t>Cash and CE</t>
  </si>
  <si>
    <t>Loans</t>
  </si>
  <si>
    <t>Current tax</t>
  </si>
  <si>
    <t>Other CA</t>
  </si>
  <si>
    <t>Current Assets</t>
  </si>
  <si>
    <t>Assets</t>
  </si>
  <si>
    <t>Borrowings</t>
  </si>
  <si>
    <t>Lease Liabilities</t>
  </si>
  <si>
    <t>Other fin liab</t>
  </si>
  <si>
    <t>Provisions</t>
  </si>
  <si>
    <t>Tax</t>
  </si>
  <si>
    <t>Non Current Liabilities</t>
  </si>
  <si>
    <t>Lease payments</t>
  </si>
  <si>
    <t>TP</t>
  </si>
  <si>
    <t>Other financial liabilites</t>
  </si>
  <si>
    <t>Current Liabilities</t>
  </si>
  <si>
    <t>Liabilities</t>
  </si>
  <si>
    <t>SE</t>
  </si>
  <si>
    <t>SE + L</t>
  </si>
  <si>
    <t>Net Cash</t>
  </si>
  <si>
    <t>Other current Liab</t>
  </si>
  <si>
    <t>Crop protection</t>
  </si>
  <si>
    <t>Seeds business</t>
  </si>
  <si>
    <t>Non Agro</t>
  </si>
  <si>
    <t>Unallocated</t>
  </si>
  <si>
    <t>Inter segment rev</t>
  </si>
  <si>
    <t>Operating revenue</t>
  </si>
  <si>
    <t>Q222</t>
  </si>
  <si>
    <t>Q122</t>
  </si>
  <si>
    <t>D&amp;A/Sales</t>
  </si>
  <si>
    <t>OtherEX/Sales</t>
  </si>
  <si>
    <t>EBE/Sales</t>
  </si>
  <si>
    <t>FinEx/Sales</t>
  </si>
  <si>
    <t>% growth</t>
  </si>
  <si>
    <t>Tax Rate</t>
  </si>
  <si>
    <t>ROIC</t>
  </si>
  <si>
    <t>Terminal</t>
  </si>
  <si>
    <t>Discount</t>
  </si>
  <si>
    <t>NPV</t>
  </si>
  <si>
    <t>Difference</t>
  </si>
  <si>
    <t>Very poor FY24, sudden loss incurred</t>
  </si>
  <si>
    <t>Supply chain issues, caused by war</t>
  </si>
  <si>
    <t>CEO</t>
  </si>
  <si>
    <t>Jai Shroff</t>
  </si>
  <si>
    <t>VC &amp; co-CEO</t>
  </si>
  <si>
    <t>Vikram shroff</t>
  </si>
  <si>
    <t>Brothers as ceo? Not sure about that</t>
  </si>
  <si>
    <t>Competitors</t>
  </si>
  <si>
    <t>BAYERCROP</t>
  </si>
  <si>
    <t>PIIND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</si>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</sst>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3" fontId="2" fillId="0" borderId="0" xfId="0" applyNumberFormat="1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6" fillId="0" borderId="0" xfId="0" applyFont="1"/>
    <xf numFmtId="9" fontId="0" fillId="0" borderId="0" xfId="1" applyFont="1" applyFill="1"/>
    <xf numFmtId="9" fontId="3" fillId="0" borderId="0" xfId="1" applyFont="1"/>
    <xf numFmtId="9" fontId="4" fillId="2" borderId="1" xfId="2" applyNumberFormat="1"/>
    <xf numFmtId="3" fontId="4" fillId="2" borderId="1" xfId="2" applyNumberFormat="1"/>
    <xf numFmtId="3" fontId="5" fillId="0" borderId="0" xfId="0" applyNumberFormat="1" applyFont="1"/>
    <xf numFmtId="9" fontId="6" fillId="0" borderId="0" xfId="1" applyFont="1"/>
    <xf numFmtId="9" fontId="7" fillId="2" borderId="1" xfId="2" applyNumberFormat="1" applyFont="1"/>
    <xf numFmtId="0" fontId="8" fillId="0" borderId="0" xfId="0" applyFont="1"/>
    <xf numFmtId="3" fontId="8" fillId="0" borderId="0" xfId="0" applyNumberFormat="1" applyFont="1"/>
    <xf numFmtId="4" fontId="8" fillId="0" borderId="0" xfId="0" applyNumberFormat="1" applyFont="1"/>
    <xf numFmtId="9" fontId="4" fillId="2" borderId="1" xfId="1" applyFont="1" applyFill="1" applyBorder="1"/>
    <xf numFmtId="164" fontId="2" fillId="0" borderId="0" xfId="0" applyNumberFormat="1" applyFont="1"/>
    <xf numFmtId="0" fontId="4" fillId="2" borderId="1" xfId="2"/>
    <xf numFmtId="9" fontId="7" fillId="2" borderId="1" xfId="1" applyFont="1" applyFill="1" applyBorder="1"/>
    <xf numFmtId="10" fontId="0" fillId="0" borderId="0" xfId="0" applyNumberFormat="1"/>
    <xf numFmtId="9" fontId="0" fillId="0" borderId="0" xfId="0" applyNumberFormat="1"/>
    <xf numFmtId="3" fontId="0" fillId="0" borderId="0" xfId="1" applyNumberFormat="1" applyFont="1"/>
    <xf numFmtId="3" fontId="3" fillId="0" borderId="0" xfId="1" applyNumberFormat="1" applyFont="1"/>
  </cellXfs>
  <cellStyles count="3">
    <cellStyle name="Input" xfId="2" builtinId="20"/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14289</xdr:colOff>
      <xdr:row>0</xdr:row>
      <xdr:rowOff>0</xdr:rowOff>
    </xdr:from>
    <xdr:to>
      <xdr:col>15</xdr:col>
      <xdr:colOff>14289</xdr:colOff>
      <xdr:row>80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DD1B65-EA99-3D98-E4E2-F6150A051E18}"/>
            </a:ext>
          </a:extLst>
        </xdr:cNvPr>
        <xdr:cNvCxnSpPr/>
      </xdr:nvCxnSpPr>
      <xdr:spPr>
        <a:xfrm>
          <a:off x="12306302" y="0"/>
          <a:ext cx="0" cy="1447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</xdr:colOff>
      <xdr:row>0</xdr:row>
      <xdr:rowOff>0</xdr:rowOff>
    </xdr:from>
    <xdr:to>
      <xdr:col>33</xdr:col>
      <xdr:colOff>9525</xdr:colOff>
      <xdr:row>80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63EBA13-6310-47DB-8DFB-758F3FF9216A}"/>
            </a:ext>
          </a:extLst>
        </xdr:cNvPr>
        <xdr:cNvCxnSpPr/>
      </xdr:nvCxnSpPr>
      <xdr:spPr>
        <a:xfrm>
          <a:off x="23460075" y="0"/>
          <a:ext cx="0" cy="15240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15</xdr:col>
      <xdr:colOff>9525</xdr:colOff>
      <xdr:row>46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6A4942-B8A2-CF8E-BC74-B7C7E615244A}"/>
            </a:ext>
          </a:extLst>
        </xdr:cNvPr>
        <xdr:cNvCxnSpPr/>
      </xdr:nvCxnSpPr>
      <xdr:spPr>
        <a:xfrm>
          <a:off x="11001375" y="0"/>
          <a:ext cx="0" cy="893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0</xdr:row>
      <xdr:rowOff>0</xdr:rowOff>
    </xdr:from>
    <xdr:to>
      <xdr:col>32</xdr:col>
      <xdr:colOff>9525</xdr:colOff>
      <xdr:row>60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E285781-FFE4-C1BE-59B3-6709A1454993}"/>
            </a:ext>
          </a:extLst>
        </xdr:cNvPr>
        <xdr:cNvCxnSpPr/>
      </xdr:nvCxnSpPr>
      <xdr:spPr>
        <a:xfrm>
          <a:off x="22231350" y="0"/>
          <a:ext cx="0" cy="1148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18AA-E59B-400B-BB0E-7B88EB1932B9}">
  <dimension ref="B3:I21"/>
  <sheetViews>
    <sheetView workbookViewId="0">
      <selection activeCell="H25" sqref="H25"/>
    </sheetView>
  </sheetViews>
  <sheetFormatPr defaultRowHeight="14.25" x14ac:dyDescent="0.45"/>
  <cols>
    <col min="7" max="7" width="12.1328125" bestFit="1" customWidth="1"/>
    <col min="8" max="8" width="11.73046875" bestFit="1" customWidth="1"/>
    <col min="9" max="9" width="11" bestFit="1" customWidth="1"/>
  </cols>
  <sheetData>
    <row r="3" spans="2:9" x14ac:dyDescent="0.45">
      <c r="B3" s="1" t="s">
        <v>0</v>
      </c>
      <c r="G3" t="s">
        <v>2</v>
      </c>
      <c r="H3" s="2">
        <v>551.70000000000005</v>
      </c>
    </row>
    <row r="4" spans="2:9" x14ac:dyDescent="0.45">
      <c r="B4" t="s">
        <v>1</v>
      </c>
      <c r="G4" t="s">
        <v>7</v>
      </c>
      <c r="H4" s="3">
        <f>750607641/1000</f>
        <v>750607.64099999995</v>
      </c>
      <c r="I4" s="5">
        <v>45382</v>
      </c>
    </row>
    <row r="5" spans="2:9" x14ac:dyDescent="0.45">
      <c r="G5" t="s">
        <v>5</v>
      </c>
      <c r="H5" s="3">
        <f>H3*H4/10000</f>
        <v>41411.023553970001</v>
      </c>
    </row>
    <row r="6" spans="2:9" x14ac:dyDescent="0.45">
      <c r="G6" t="s">
        <v>3</v>
      </c>
      <c r="H6" s="3">
        <f>4428+24010+958+358</f>
        <v>29754</v>
      </c>
    </row>
    <row r="7" spans="2:9" x14ac:dyDescent="0.45">
      <c r="G7" t="s">
        <v>4</v>
      </c>
      <c r="H7" s="3">
        <f>5943+93</f>
        <v>6036</v>
      </c>
    </row>
    <row r="8" spans="2:9" x14ac:dyDescent="0.45">
      <c r="G8" t="s">
        <v>6</v>
      </c>
      <c r="H8" s="3">
        <f>H5+H6-H7</f>
        <v>65129.023553970008</v>
      </c>
    </row>
    <row r="13" spans="2:9" x14ac:dyDescent="0.45">
      <c r="B13" s="1" t="s">
        <v>9</v>
      </c>
      <c r="G13" s="1" t="s">
        <v>8</v>
      </c>
    </row>
    <row r="14" spans="2:9" x14ac:dyDescent="0.45">
      <c r="B14" t="s">
        <v>122</v>
      </c>
      <c r="G14" s="1" t="s">
        <v>124</v>
      </c>
      <c r="H14" t="s">
        <v>125</v>
      </c>
    </row>
    <row r="15" spans="2:9" x14ac:dyDescent="0.45">
      <c r="B15" t="s">
        <v>123</v>
      </c>
      <c r="G15" s="1" t="s">
        <v>126</v>
      </c>
      <c r="H15" t="s">
        <v>127</v>
      </c>
    </row>
    <row r="16" spans="2:9" x14ac:dyDescent="0.45">
      <c r="B16" t="s">
        <v>128</v>
      </c>
    </row>
    <row r="19" spans="2:2" x14ac:dyDescent="0.45">
      <c r="B19" s="1" t="s">
        <v>129</v>
      </c>
    </row>
    <row r="20" spans="2:2" x14ac:dyDescent="0.45">
      <c r="B20" t="s">
        <v>130</v>
      </c>
    </row>
    <row r="21" spans="2:2" x14ac:dyDescent="0.45">
      <c r="B21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4E7E-8BB4-495A-B710-2C4BD6C3BC5A}">
  <dimension ref="A1:EA74"/>
  <sheetViews>
    <sheetView tabSelected="1" zoomScaleNormal="100" workbookViewId="0">
      <pane xSplit="2" ySplit="2" topLeftCell="AP9" activePane="bottomRight" state="frozen"/>
      <selection pane="topRight" activeCell="C1" sqref="C1"/>
      <selection pane="bottomLeft" activeCell="A3" sqref="A3"/>
      <selection pane="bottomRight" activeCell="AY34" sqref="AY34"/>
    </sheetView>
  </sheetViews>
  <sheetFormatPr defaultColWidth="9" defaultRowHeight="14.25" x14ac:dyDescent="0.45"/>
  <cols>
    <col min="1" max="1" width="9.1328125" customWidth="1"/>
    <col min="2" max="2" width="22.73046875" bestFit="1" customWidth="1"/>
    <col min="3" max="3" width="9" style="3"/>
    <col min="4" max="5" width="10.73046875" style="3" bestFit="1" customWidth="1"/>
    <col min="6" max="14" width="11" style="3" bestFit="1" customWidth="1"/>
    <col min="15" max="15" width="10.73046875" style="3" bestFit="1" customWidth="1"/>
    <col min="16" max="24" width="9" style="3"/>
    <col min="25" max="32" width="11" style="3" bestFit="1" customWidth="1"/>
    <col min="33" max="33" width="10.73046875" style="3" bestFit="1" customWidth="1"/>
    <col min="34" max="49" width="9" style="3"/>
    <col min="50" max="50" width="10.3984375" style="3" bestFit="1" customWidth="1"/>
    <col min="51" max="51" width="10.796875" style="3" bestFit="1" customWidth="1"/>
    <col min="52" max="16384" width="9" style="3"/>
  </cols>
  <sheetData>
    <row r="1" spans="2:45" customFormat="1" x14ac:dyDescent="0.45">
      <c r="D1" s="5">
        <v>44377</v>
      </c>
      <c r="E1" s="5">
        <v>44469</v>
      </c>
      <c r="F1" s="5">
        <v>44561</v>
      </c>
      <c r="G1" s="5">
        <v>44651</v>
      </c>
      <c r="H1" s="5">
        <v>44742</v>
      </c>
      <c r="I1" s="5">
        <v>44834</v>
      </c>
      <c r="J1" s="5">
        <v>44926</v>
      </c>
      <c r="K1" s="5">
        <v>45016</v>
      </c>
      <c r="L1" s="5">
        <v>45107</v>
      </c>
      <c r="M1" s="5">
        <v>45199</v>
      </c>
      <c r="N1" s="5">
        <v>45291</v>
      </c>
      <c r="O1" s="5">
        <v>45382</v>
      </c>
      <c r="Y1" s="5">
        <v>42460</v>
      </c>
      <c r="Z1" s="5">
        <v>42825</v>
      </c>
      <c r="AA1" s="5">
        <v>43190</v>
      </c>
      <c r="AB1" s="5">
        <v>43555</v>
      </c>
      <c r="AC1" s="5">
        <v>43921</v>
      </c>
      <c r="AD1" s="5">
        <v>44286</v>
      </c>
      <c r="AE1" s="5">
        <v>44651</v>
      </c>
      <c r="AF1" s="5">
        <v>45016</v>
      </c>
      <c r="AG1" s="5">
        <v>45382</v>
      </c>
      <c r="AH1" s="9">
        <v>1</v>
      </c>
      <c r="AI1" s="9">
        <f t="shared" ref="AI1:AS1" si="0">AH1+1</f>
        <v>2</v>
      </c>
      <c r="AJ1" s="9">
        <f t="shared" si="0"/>
        <v>3</v>
      </c>
      <c r="AK1" s="9">
        <f t="shared" si="0"/>
        <v>4</v>
      </c>
      <c r="AL1" s="9">
        <f t="shared" si="0"/>
        <v>5</v>
      </c>
      <c r="AM1" s="9">
        <f t="shared" si="0"/>
        <v>6</v>
      </c>
      <c r="AN1" s="9">
        <f t="shared" si="0"/>
        <v>7</v>
      </c>
      <c r="AO1" s="9">
        <f t="shared" si="0"/>
        <v>8</v>
      </c>
      <c r="AP1" s="9">
        <f t="shared" si="0"/>
        <v>9</v>
      </c>
      <c r="AQ1" s="9">
        <f t="shared" si="0"/>
        <v>10</v>
      </c>
      <c r="AR1" s="9">
        <f t="shared" si="0"/>
        <v>11</v>
      </c>
      <c r="AS1" s="9">
        <f t="shared" si="0"/>
        <v>12</v>
      </c>
    </row>
    <row r="2" spans="2:45" customFormat="1" x14ac:dyDescent="0.45">
      <c r="C2" s="3"/>
      <c r="D2" s="3" t="s">
        <v>110</v>
      </c>
      <c r="E2" s="3" t="s">
        <v>109</v>
      </c>
      <c r="F2" s="3" t="s">
        <v>38</v>
      </c>
      <c r="G2" s="3" t="s">
        <v>37</v>
      </c>
      <c r="H2" t="s">
        <v>36</v>
      </c>
      <c r="I2" t="s">
        <v>35</v>
      </c>
      <c r="J2" t="s">
        <v>32</v>
      </c>
      <c r="K2" t="s">
        <v>34</v>
      </c>
      <c r="L2" t="s">
        <v>33</v>
      </c>
      <c r="M2" t="s">
        <v>31</v>
      </c>
      <c r="N2" t="s">
        <v>29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Y2" t="s">
        <v>53</v>
      </c>
      <c r="Z2" t="s">
        <v>52</v>
      </c>
      <c r="AA2" t="s">
        <v>51</v>
      </c>
      <c r="AB2" t="s">
        <v>50</v>
      </c>
      <c r="AC2" t="s">
        <v>49</v>
      </c>
      <c r="AD2" t="s">
        <v>48</v>
      </c>
      <c r="AE2" t="s">
        <v>47</v>
      </c>
      <c r="AF2" t="s">
        <v>46</v>
      </c>
      <c r="AG2" t="s">
        <v>54</v>
      </c>
      <c r="AH2" t="s">
        <v>55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62</v>
      </c>
      <c r="AQ2" t="s">
        <v>63</v>
      </c>
      <c r="AR2" t="s">
        <v>64</v>
      </c>
      <c r="AS2" t="s">
        <v>65</v>
      </c>
    </row>
    <row r="3" spans="2:45" customFormat="1" x14ac:dyDescent="0.45">
      <c r="C3" s="3"/>
      <c r="D3" s="3"/>
      <c r="E3" s="3"/>
      <c r="F3" s="3"/>
      <c r="G3" s="3"/>
    </row>
    <row r="4" spans="2:45" customFormat="1" x14ac:dyDescent="0.45">
      <c r="B4" s="1" t="s">
        <v>10</v>
      </c>
      <c r="C4" s="3"/>
      <c r="D4" s="3"/>
      <c r="E4" s="3"/>
      <c r="F4" s="3"/>
      <c r="G4" s="3"/>
    </row>
    <row r="5" spans="2:45" customFormat="1" x14ac:dyDescent="0.45">
      <c r="B5" t="s">
        <v>30</v>
      </c>
      <c r="C5" s="3"/>
      <c r="D5" s="3">
        <f>'Revenue Build'!D15</f>
        <v>8515</v>
      </c>
      <c r="E5" s="3">
        <f>'Revenue Build'!E15</f>
        <v>10567</v>
      </c>
      <c r="F5" s="3">
        <v>11297</v>
      </c>
      <c r="G5" s="3">
        <v>15861</v>
      </c>
      <c r="H5" s="3">
        <v>10821</v>
      </c>
      <c r="I5" s="3">
        <v>12507</v>
      </c>
      <c r="J5" s="3">
        <v>13679</v>
      </c>
      <c r="K5" s="3">
        <v>16569</v>
      </c>
      <c r="L5" s="3">
        <v>8963</v>
      </c>
      <c r="M5" s="3">
        <v>10170</v>
      </c>
      <c r="N5" s="3">
        <v>9887</v>
      </c>
      <c r="O5" s="3">
        <v>14078</v>
      </c>
      <c r="P5" s="3">
        <f>'Revenue Build'!P15</f>
        <v>9285.5366666666669</v>
      </c>
      <c r="Q5" s="3">
        <f>'Revenue Build'!Q15</f>
        <v>10507.416666666666</v>
      </c>
      <c r="R5" s="3">
        <f>'Revenue Build'!R15</f>
        <v>10169.966666666667</v>
      </c>
      <c r="S5" s="3">
        <f>'Revenue Build'!S15</f>
        <v>14487.856666666667</v>
      </c>
      <c r="T5" s="3"/>
      <c r="U5" s="3"/>
      <c r="V5" s="3"/>
      <c r="W5" s="3"/>
      <c r="X5" s="3"/>
      <c r="Y5" s="3">
        <v>14344</v>
      </c>
      <c r="Z5" s="3">
        <v>16680</v>
      </c>
      <c r="AA5" s="3">
        <v>17506</v>
      </c>
      <c r="AB5" s="3">
        <v>21837</v>
      </c>
      <c r="AC5" s="3">
        <v>35756</v>
      </c>
      <c r="AD5" s="3">
        <v>38694</v>
      </c>
      <c r="AE5" s="3">
        <v>46240</v>
      </c>
      <c r="AF5" s="3">
        <f>SUM(H5:K5)</f>
        <v>53576</v>
      </c>
      <c r="AG5" s="3">
        <f>SUM(L5:O5)</f>
        <v>43098</v>
      </c>
      <c r="AH5" s="3">
        <f>'Revenue Build'!AG15</f>
        <v>44450.776666666672</v>
      </c>
      <c r="AI5" s="3">
        <f>'Revenue Build'!AH15</f>
        <v>46272.587949999994</v>
      </c>
      <c r="AJ5" s="3">
        <f>'Revenue Build'!AI15</f>
        <v>48653.225544150002</v>
      </c>
      <c r="AK5" s="3">
        <f>'Revenue Build'!AJ15</f>
        <v>51676.478967277348</v>
      </c>
      <c r="AL5" s="3">
        <f>'Revenue Build'!AK15</f>
        <v>55442.594406240256</v>
      </c>
      <c r="AM5" s="3">
        <f>'Revenue Build'!AL15</f>
        <v>60084.500494085849</v>
      </c>
      <c r="AN5" s="3">
        <f>'Revenue Build'!AM15</f>
        <v>65337.881046805516</v>
      </c>
      <c r="AO5" s="3">
        <f>'Revenue Build'!AN15</f>
        <v>71308.442050915415</v>
      </c>
      <c r="AP5" s="3">
        <f>'Revenue Build'!AO15</f>
        <v>78121.98568486463</v>
      </c>
      <c r="AQ5" s="3">
        <f>'Revenue Build'!AP15</f>
        <v>85928.334583897231</v>
      </c>
      <c r="AR5" s="3">
        <f>'Revenue Build'!AQ15</f>
        <v>94906.028330746631</v>
      </c>
      <c r="AS5" s="3">
        <f>'Revenue Build'!AR15</f>
        <v>105267.94455881148</v>
      </c>
    </row>
    <row r="6" spans="2:45" customFormat="1" x14ac:dyDescent="0.45">
      <c r="B6" t="s">
        <v>12</v>
      </c>
      <c r="C6" s="3"/>
      <c r="D6" s="3">
        <v>48</v>
      </c>
      <c r="E6" s="3">
        <v>47</v>
      </c>
      <c r="F6" s="3">
        <v>70</v>
      </c>
      <c r="G6" s="3">
        <v>116</v>
      </c>
      <c r="H6" s="3">
        <v>73</v>
      </c>
      <c r="I6" s="3">
        <v>78</v>
      </c>
      <c r="J6" s="3">
        <v>115</v>
      </c>
      <c r="K6" s="3">
        <v>211</v>
      </c>
      <c r="L6" s="3">
        <v>101</v>
      </c>
      <c r="M6" s="3">
        <v>105</v>
      </c>
      <c r="N6" s="3">
        <v>151</v>
      </c>
      <c r="O6" s="3">
        <v>126</v>
      </c>
      <c r="P6" s="14">
        <v>0</v>
      </c>
      <c r="Q6" s="3">
        <f>P6</f>
        <v>0</v>
      </c>
      <c r="R6" s="3">
        <f t="shared" ref="R6:S6" si="1">Q6</f>
        <v>0</v>
      </c>
      <c r="S6" s="3">
        <f t="shared" si="1"/>
        <v>0</v>
      </c>
      <c r="T6" s="3"/>
      <c r="U6" s="3"/>
      <c r="V6" s="3"/>
      <c r="W6" s="3"/>
      <c r="X6" s="3"/>
      <c r="Y6" s="3">
        <v>316</v>
      </c>
      <c r="Z6" s="3">
        <v>444</v>
      </c>
      <c r="AA6" s="3">
        <v>414</v>
      </c>
      <c r="AB6" s="3">
        <v>240</v>
      </c>
      <c r="AC6" s="3">
        <v>104</v>
      </c>
      <c r="AD6" s="3">
        <v>258</v>
      </c>
      <c r="AE6" s="3">
        <v>281</v>
      </c>
      <c r="AF6" s="3">
        <f>SUM(H6:K6)</f>
        <v>477</v>
      </c>
      <c r="AG6" s="3">
        <f>SUM(L6:O6)</f>
        <v>483</v>
      </c>
      <c r="AH6" s="3">
        <f>SUM(Q6:T6)</f>
        <v>0</v>
      </c>
      <c r="AI6" s="3"/>
      <c r="AJ6" s="3"/>
      <c r="AK6" s="3"/>
      <c r="AL6" s="3"/>
      <c r="AM6" s="3">
        <f t="shared" ref="AM6:AS6" si="2">AL33*$AY$29</f>
        <v>54.057926574113971</v>
      </c>
      <c r="AN6" s="3">
        <f t="shared" si="2"/>
        <v>146.01166452742814</v>
      </c>
      <c r="AO6" s="3">
        <f t="shared" si="2"/>
        <v>246.8097540244525</v>
      </c>
      <c r="AP6" s="3">
        <f t="shared" si="2"/>
        <v>357.62291005991807</v>
      </c>
      <c r="AQ6" s="3">
        <f t="shared" si="2"/>
        <v>479.82659141923386</v>
      </c>
      <c r="AR6" s="3">
        <f t="shared" si="2"/>
        <v>615.04006381443162</v>
      </c>
      <c r="AS6" s="3">
        <f t="shared" si="2"/>
        <v>765.17309910066137</v>
      </c>
    </row>
    <row r="7" spans="2:45" customFormat="1" x14ac:dyDescent="0.45">
      <c r="B7" s="1" t="s">
        <v>11</v>
      </c>
      <c r="C7" s="3"/>
      <c r="D7" s="4">
        <f t="shared" ref="D7:E7" si="3">SUM(D5:D6)</f>
        <v>8563</v>
      </c>
      <c r="E7" s="4">
        <f t="shared" si="3"/>
        <v>10614</v>
      </c>
      <c r="F7" s="4">
        <f t="shared" ref="F7:G7" si="4">SUM(F5:F6)</f>
        <v>11367</v>
      </c>
      <c r="G7" s="4">
        <f t="shared" si="4"/>
        <v>15977</v>
      </c>
      <c r="H7" s="4">
        <f>SUM(H5:H6)</f>
        <v>10894</v>
      </c>
      <c r="I7" s="4">
        <f>SUM(I5:I6)</f>
        <v>12585</v>
      </c>
      <c r="J7" s="4">
        <f t="shared" ref="J7:M7" si="5">SUM(J5:J6)</f>
        <v>13794</v>
      </c>
      <c r="K7" s="4">
        <f t="shared" si="5"/>
        <v>16780</v>
      </c>
      <c r="L7" s="4">
        <f t="shared" si="5"/>
        <v>9064</v>
      </c>
      <c r="M7" s="4">
        <f t="shared" si="5"/>
        <v>10275</v>
      </c>
      <c r="N7" s="4">
        <f>SUM(N5:N6)</f>
        <v>10038</v>
      </c>
      <c r="O7" s="4">
        <f>O6+O5</f>
        <v>14204</v>
      </c>
      <c r="P7" s="4">
        <f>P5+P6</f>
        <v>9285.5366666666669</v>
      </c>
      <c r="Q7" s="4">
        <f t="shared" ref="Q7:S7" si="6">Q5+Q6</f>
        <v>10507.416666666666</v>
      </c>
      <c r="R7" s="4">
        <f t="shared" si="6"/>
        <v>10169.966666666667</v>
      </c>
      <c r="S7" s="4">
        <f t="shared" si="6"/>
        <v>14487.856666666667</v>
      </c>
      <c r="T7" s="4"/>
      <c r="U7" s="3"/>
      <c r="V7" s="3"/>
      <c r="W7" s="3"/>
      <c r="X7" s="3"/>
      <c r="Y7" s="4">
        <f t="shared" ref="Y7" si="7">SUM(Y5:Y6)</f>
        <v>14660</v>
      </c>
      <c r="Z7" s="4">
        <f t="shared" ref="Z7" si="8">SUM(Z5:Z6)</f>
        <v>17124</v>
      </c>
      <c r="AA7" s="4">
        <f t="shared" ref="AA7" si="9">SUM(AA5:AA6)</f>
        <v>17920</v>
      </c>
      <c r="AB7" s="4">
        <f t="shared" ref="AB7" si="10">SUM(AB5:AB6)</f>
        <v>22077</v>
      </c>
      <c r="AC7" s="4">
        <f t="shared" ref="AC7:AD7" si="11">SUM(AC5:AC6)</f>
        <v>35860</v>
      </c>
      <c r="AD7" s="4">
        <f t="shared" si="11"/>
        <v>38952</v>
      </c>
      <c r="AE7" s="4">
        <f>SUM(AE5:AE6)</f>
        <v>46521</v>
      </c>
      <c r="AF7" s="4">
        <f>SUM(AF5:AF6)</f>
        <v>54053</v>
      </c>
      <c r="AG7" s="4">
        <f>SUM(AG5:AG6)</f>
        <v>43581</v>
      </c>
      <c r="AH7" s="4">
        <f>AH5+AH6</f>
        <v>44450.776666666672</v>
      </c>
      <c r="AI7" s="4">
        <f>AI5+AI6</f>
        <v>46272.587949999994</v>
      </c>
      <c r="AJ7" s="4">
        <f t="shared" ref="AJ7:AS7" si="12">AJ5+AJ6</f>
        <v>48653.225544150002</v>
      </c>
      <c r="AK7" s="4">
        <f t="shared" si="12"/>
        <v>51676.478967277348</v>
      </c>
      <c r="AL7" s="4">
        <f t="shared" si="12"/>
        <v>55442.594406240256</v>
      </c>
      <c r="AM7" s="4">
        <f t="shared" si="12"/>
        <v>60138.55842065996</v>
      </c>
      <c r="AN7" s="4">
        <f t="shared" si="12"/>
        <v>65483.892711332941</v>
      </c>
      <c r="AO7" s="4">
        <f t="shared" si="12"/>
        <v>71555.251804939864</v>
      </c>
      <c r="AP7" s="4">
        <f t="shared" si="12"/>
        <v>78479.608594924546</v>
      </c>
      <c r="AQ7" s="4">
        <f t="shared" si="12"/>
        <v>86408.161175316462</v>
      </c>
      <c r="AR7" s="4">
        <f t="shared" si="12"/>
        <v>95521.068394561065</v>
      </c>
      <c r="AS7" s="4">
        <f t="shared" si="12"/>
        <v>106033.11765791214</v>
      </c>
    </row>
    <row r="8" spans="2:45" customFormat="1" x14ac:dyDescent="0.45">
      <c r="B8" t="s">
        <v>14</v>
      </c>
      <c r="C8" s="3"/>
      <c r="D8" s="3">
        <v>3703</v>
      </c>
      <c r="E8" s="3">
        <v>5221</v>
      </c>
      <c r="F8" s="3">
        <v>5154</v>
      </c>
      <c r="G8" s="3">
        <v>7994</v>
      </c>
      <c r="H8" s="3">
        <v>4919</v>
      </c>
      <c r="I8" s="3">
        <v>5781</v>
      </c>
      <c r="J8" s="3">
        <v>6622</v>
      </c>
      <c r="K8" s="3">
        <v>9821</v>
      </c>
      <c r="L8" s="3">
        <v>3930</v>
      </c>
      <c r="M8" s="3">
        <v>5232</v>
      </c>
      <c r="N8" s="3">
        <v>6323</v>
      </c>
      <c r="O8" s="3">
        <v>9009</v>
      </c>
      <c r="P8" s="3"/>
      <c r="Q8" s="3"/>
      <c r="R8" s="3"/>
      <c r="S8" s="3"/>
      <c r="T8" s="3"/>
      <c r="U8" s="3"/>
      <c r="V8" s="3"/>
      <c r="W8" s="3"/>
      <c r="X8" s="3"/>
      <c r="Y8" s="3">
        <f>6780+296</f>
        <v>7076</v>
      </c>
      <c r="Z8" s="3">
        <f>7816+368</f>
        <v>8184</v>
      </c>
      <c r="AA8" s="3">
        <f>8112+128</f>
        <v>8240</v>
      </c>
      <c r="AB8" s="3">
        <v>10904</v>
      </c>
      <c r="AC8" s="3">
        <v>18743</v>
      </c>
      <c r="AD8" s="3">
        <f>19096</f>
        <v>19096</v>
      </c>
      <c r="AE8" s="3">
        <v>22072</v>
      </c>
      <c r="AF8" s="3">
        <v>27281</v>
      </c>
      <c r="AG8" s="3" t="s">
        <v>132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2:45" customFormat="1" x14ac:dyDescent="0.45">
      <c r="B9" t="s">
        <v>15</v>
      </c>
      <c r="C9" s="3"/>
      <c r="D9" s="4">
        <f t="shared" ref="D9:E9" si="13">D7-D8</f>
        <v>4860</v>
      </c>
      <c r="E9" s="4">
        <f t="shared" si="13"/>
        <v>5393</v>
      </c>
      <c r="F9" s="4">
        <f t="shared" ref="F9:G9" si="14">F7-F8</f>
        <v>6213</v>
      </c>
      <c r="G9" s="4">
        <f t="shared" si="14"/>
        <v>7983</v>
      </c>
      <c r="H9" s="4">
        <f>H7-H8</f>
        <v>5975</v>
      </c>
      <c r="I9" s="4">
        <f>I7-I8</f>
        <v>6804</v>
      </c>
      <c r="J9" s="4">
        <f t="shared" ref="J9:M9" si="15">J7-J8</f>
        <v>7172</v>
      </c>
      <c r="K9" s="4">
        <f t="shared" si="15"/>
        <v>6959</v>
      </c>
      <c r="L9" s="4">
        <f t="shared" si="15"/>
        <v>5134</v>
      </c>
      <c r="M9" s="4">
        <f t="shared" si="15"/>
        <v>5043</v>
      </c>
      <c r="N9" s="4">
        <f>N7-N8</f>
        <v>3715</v>
      </c>
      <c r="O9" s="4">
        <f>O7-O8</f>
        <v>5195</v>
      </c>
      <c r="P9" s="4">
        <f>P7*P26</f>
        <v>3249.9378333333334</v>
      </c>
      <c r="Q9" s="4">
        <f t="shared" ref="Q9:S9" si="16">Q7*Q26</f>
        <v>4202.9666666666662</v>
      </c>
      <c r="R9" s="4">
        <f t="shared" si="16"/>
        <v>4449.3604166666664</v>
      </c>
      <c r="S9" s="4">
        <f t="shared" si="16"/>
        <v>7243.9283333333333</v>
      </c>
      <c r="T9" s="4"/>
      <c r="U9" s="3"/>
      <c r="V9" s="3"/>
      <c r="W9" s="3"/>
      <c r="X9" s="3"/>
      <c r="Y9" s="4">
        <f t="shared" ref="Y9" si="17">Y7-Y8</f>
        <v>7584</v>
      </c>
      <c r="Z9" s="4">
        <f t="shared" ref="Z9" si="18">Z7-Z8</f>
        <v>8940</v>
      </c>
      <c r="AA9" s="4">
        <f t="shared" ref="AA9" si="19">AA7-AA8</f>
        <v>9680</v>
      </c>
      <c r="AB9" s="4">
        <f t="shared" ref="AB9" si="20">AB7-AB8</f>
        <v>11173</v>
      </c>
      <c r="AC9" s="4">
        <f t="shared" ref="AC9:AD9" si="21">AC7-AC8</f>
        <v>17117</v>
      </c>
      <c r="AD9" s="4">
        <f t="shared" si="21"/>
        <v>19856</v>
      </c>
      <c r="AE9" s="4">
        <f>AE7-AE8</f>
        <v>24449</v>
      </c>
      <c r="AF9" s="4">
        <f>AF7-AF8</f>
        <v>26772</v>
      </c>
      <c r="AG9" s="4">
        <f>SUM(L9:O9)</f>
        <v>19087</v>
      </c>
      <c r="AH9" s="4">
        <f>SUM(Q9:T9)</f>
        <v>15896.255416666667</v>
      </c>
      <c r="AI9" s="4">
        <f>AI7*$AI$26</f>
        <v>23136.293974999997</v>
      </c>
      <c r="AJ9" s="4">
        <f t="shared" ref="AJ9:AS9" si="22">AJ7*$AI$26</f>
        <v>24326.612772075001</v>
      </c>
      <c r="AK9" s="4">
        <f t="shared" si="22"/>
        <v>25838.239483638674</v>
      </c>
      <c r="AL9" s="4">
        <f t="shared" si="22"/>
        <v>27721.297203120128</v>
      </c>
      <c r="AM9" s="4">
        <f t="shared" si="22"/>
        <v>30069.27921032998</v>
      </c>
      <c r="AN9" s="4">
        <f t="shared" si="22"/>
        <v>32741.94635566647</v>
      </c>
      <c r="AO9" s="4">
        <f t="shared" si="22"/>
        <v>35777.625902469932</v>
      </c>
      <c r="AP9" s="4">
        <f t="shared" si="22"/>
        <v>39239.804297462273</v>
      </c>
      <c r="AQ9" s="4">
        <f t="shared" si="22"/>
        <v>43204.080587658231</v>
      </c>
      <c r="AR9" s="4">
        <f t="shared" si="22"/>
        <v>47760.534197280533</v>
      </c>
      <c r="AS9" s="4">
        <f t="shared" si="22"/>
        <v>53016.558828956069</v>
      </c>
    </row>
    <row r="10" spans="2:45" customFormat="1" x14ac:dyDescent="0.45">
      <c r="B10" t="s">
        <v>16</v>
      </c>
      <c r="C10" s="3"/>
      <c r="D10" s="3">
        <v>1030</v>
      </c>
      <c r="E10" s="3">
        <v>1079</v>
      </c>
      <c r="F10" s="3">
        <v>1166</v>
      </c>
      <c r="G10" s="3">
        <v>1347</v>
      </c>
      <c r="H10" s="3">
        <v>1244</v>
      </c>
      <c r="I10" s="3">
        <v>1233</v>
      </c>
      <c r="J10" s="3">
        <v>1321</v>
      </c>
      <c r="K10" s="3">
        <v>1258</v>
      </c>
      <c r="L10" s="3">
        <v>1240</v>
      </c>
      <c r="M10" s="3">
        <v>1251</v>
      </c>
      <c r="N10" s="3">
        <v>1155</v>
      </c>
      <c r="O10" s="3">
        <v>1036</v>
      </c>
      <c r="P10" s="3">
        <f>P7*$P$29</f>
        <v>1114.2644</v>
      </c>
      <c r="Q10" s="3">
        <f t="shared" ref="Q10:S10" si="23">Q7*$P$29</f>
        <v>1260.8899999999999</v>
      </c>
      <c r="R10" s="3">
        <f t="shared" si="23"/>
        <v>1220.396</v>
      </c>
      <c r="S10" s="3">
        <f t="shared" si="23"/>
        <v>1738.5427999999999</v>
      </c>
      <c r="T10" s="3"/>
      <c r="U10" s="3"/>
      <c r="V10" s="3"/>
      <c r="W10" s="3"/>
      <c r="X10" s="3"/>
      <c r="Y10" s="3">
        <v>1434</v>
      </c>
      <c r="Z10" s="3">
        <v>1627</v>
      </c>
      <c r="AA10" s="3">
        <v>1713</v>
      </c>
      <c r="AB10" s="3">
        <v>2095</v>
      </c>
      <c r="AC10" s="3">
        <v>3391</v>
      </c>
      <c r="AD10" s="3">
        <v>3712</v>
      </c>
      <c r="AE10" s="3">
        <v>4622</v>
      </c>
      <c r="AF10" s="3">
        <f>SUM(H10:K10)</f>
        <v>5056</v>
      </c>
      <c r="AG10" s="3">
        <f>SUM(L10:O10)</f>
        <v>4682</v>
      </c>
      <c r="AH10" s="3">
        <f>SUM(Q10:T10)</f>
        <v>4219.8288000000002</v>
      </c>
      <c r="AI10" s="3">
        <f>AI7*$AI$29</f>
        <v>4627.2587949999997</v>
      </c>
      <c r="AJ10" s="3">
        <f t="shared" ref="AJ10:AS10" si="24">AJ7*$AI$29</f>
        <v>4865.322554415</v>
      </c>
      <c r="AK10" s="3">
        <f t="shared" si="24"/>
        <v>5167.6478967277353</v>
      </c>
      <c r="AL10" s="3">
        <f t="shared" si="24"/>
        <v>5544.259440624026</v>
      </c>
      <c r="AM10" s="3">
        <f t="shared" si="24"/>
        <v>6013.8558420659965</v>
      </c>
      <c r="AN10" s="3">
        <f t="shared" si="24"/>
        <v>6548.3892711332946</v>
      </c>
      <c r="AO10" s="3">
        <f t="shared" si="24"/>
        <v>7155.5251804939871</v>
      </c>
      <c r="AP10" s="3">
        <f t="shared" si="24"/>
        <v>7847.9608594924548</v>
      </c>
      <c r="AQ10" s="3">
        <f t="shared" si="24"/>
        <v>8640.8161175316473</v>
      </c>
      <c r="AR10" s="3">
        <f t="shared" si="24"/>
        <v>9552.1068394561062</v>
      </c>
      <c r="AS10" s="3">
        <f t="shared" si="24"/>
        <v>10603.311765791215</v>
      </c>
    </row>
    <row r="11" spans="2:45" customFormat="1" x14ac:dyDescent="0.45">
      <c r="B11" t="s">
        <v>17</v>
      </c>
      <c r="C11" s="3"/>
      <c r="D11" s="3">
        <v>607</v>
      </c>
      <c r="E11" s="3">
        <v>359</v>
      </c>
      <c r="F11" s="3">
        <v>529</v>
      </c>
      <c r="G11" s="3">
        <v>800</v>
      </c>
      <c r="H11" s="3">
        <v>519</v>
      </c>
      <c r="I11" s="3">
        <v>644</v>
      </c>
      <c r="J11" s="3">
        <v>894</v>
      </c>
      <c r="K11" s="3">
        <v>906</v>
      </c>
      <c r="L11" s="3">
        <v>700</v>
      </c>
      <c r="M11" s="3">
        <v>871</v>
      </c>
      <c r="N11" s="3">
        <v>1191</v>
      </c>
      <c r="O11" s="3">
        <v>1090</v>
      </c>
      <c r="P11" s="3">
        <f>P7*P30</f>
        <v>835.69830000000002</v>
      </c>
      <c r="Q11" s="3">
        <f t="shared" ref="Q11:S11" si="25">Q7*Q30</f>
        <v>840.59333333333325</v>
      </c>
      <c r="R11" s="3">
        <f t="shared" si="25"/>
        <v>711.89766666666674</v>
      </c>
      <c r="S11" s="3">
        <f t="shared" si="25"/>
        <v>869.27139999999997</v>
      </c>
      <c r="T11" s="3"/>
      <c r="U11" s="3"/>
      <c r="V11" s="3"/>
      <c r="W11" s="3"/>
      <c r="X11" s="3"/>
      <c r="Y11" s="3">
        <v>704</v>
      </c>
      <c r="Z11" s="3">
        <v>735</v>
      </c>
      <c r="AA11" s="3">
        <v>783</v>
      </c>
      <c r="AB11" s="3">
        <v>963</v>
      </c>
      <c r="AC11" s="3">
        <v>1481</v>
      </c>
      <c r="AD11" s="3">
        <v>2060</v>
      </c>
      <c r="AE11" s="3">
        <v>2295</v>
      </c>
      <c r="AF11" s="3">
        <f>SUM(H11:K11)</f>
        <v>2963</v>
      </c>
      <c r="AG11" s="3">
        <f t="shared" ref="AG11:AG15" si="26">SUM(L11:O11)</f>
        <v>3852</v>
      </c>
      <c r="AH11" s="3">
        <f t="shared" ref="AH11:AH21" si="27">SUM(Q11:T11)</f>
        <v>2421.7624000000001</v>
      </c>
      <c r="AI11" s="3">
        <f>AI7*$AI$30</f>
        <v>2313.6293974999999</v>
      </c>
      <c r="AJ11" s="3">
        <f t="shared" ref="AJ11:AS11" si="28">AJ7*$AI$30</f>
        <v>2432.6612772075</v>
      </c>
      <c r="AK11" s="3">
        <f t="shared" si="28"/>
        <v>2583.8239483638677</v>
      </c>
      <c r="AL11" s="3">
        <f t="shared" si="28"/>
        <v>2772.129720312013</v>
      </c>
      <c r="AM11" s="3">
        <f t="shared" si="28"/>
        <v>3006.9279210329983</v>
      </c>
      <c r="AN11" s="3">
        <f t="shared" si="28"/>
        <v>3274.1946355666473</v>
      </c>
      <c r="AO11" s="3">
        <f t="shared" si="28"/>
        <v>3577.7625902469936</v>
      </c>
      <c r="AP11" s="3">
        <f t="shared" si="28"/>
        <v>3923.9804297462274</v>
      </c>
      <c r="AQ11" s="3">
        <f t="shared" si="28"/>
        <v>4320.4080587658236</v>
      </c>
      <c r="AR11" s="3">
        <f t="shared" si="28"/>
        <v>4776.0534197280531</v>
      </c>
      <c r="AS11" s="3">
        <f t="shared" si="28"/>
        <v>5301.6558828956076</v>
      </c>
    </row>
    <row r="12" spans="2:45" customFormat="1" x14ac:dyDescent="0.45">
      <c r="B12" t="s">
        <v>19</v>
      </c>
      <c r="C12" s="3"/>
      <c r="D12" s="3">
        <v>-37</v>
      </c>
      <c r="E12" s="3">
        <v>58</v>
      </c>
      <c r="F12" s="3">
        <v>-25</v>
      </c>
      <c r="G12" s="3">
        <v>-11</v>
      </c>
      <c r="H12" s="3">
        <v>33</v>
      </c>
      <c r="I12" s="3">
        <v>50</v>
      </c>
      <c r="J12" s="3">
        <v>8</v>
      </c>
      <c r="K12" s="3">
        <v>32</v>
      </c>
      <c r="L12" s="3">
        <v>63</v>
      </c>
      <c r="M12" s="3">
        <v>38</v>
      </c>
      <c r="N12" s="3">
        <v>14</v>
      </c>
      <c r="O12" s="3">
        <v>-24</v>
      </c>
      <c r="P12" s="14">
        <f>AVERAGE(D12:O12)</f>
        <v>16.583333333333332</v>
      </c>
      <c r="Q12" s="3">
        <f>P12</f>
        <v>16.583333333333332</v>
      </c>
      <c r="R12" s="3">
        <f t="shared" ref="R12:S12" si="29">Q12</f>
        <v>16.583333333333332</v>
      </c>
      <c r="S12" s="3">
        <f t="shared" si="29"/>
        <v>16.583333333333332</v>
      </c>
      <c r="T12" s="3"/>
      <c r="U12" s="3"/>
      <c r="V12" s="3"/>
      <c r="W12" s="3"/>
      <c r="X12" s="3"/>
      <c r="Y12" s="3"/>
      <c r="Z12" s="3"/>
      <c r="AA12" s="3"/>
      <c r="AB12" s="3"/>
      <c r="AC12" s="3">
        <v>49</v>
      </c>
      <c r="AD12" s="3">
        <v>80</v>
      </c>
      <c r="AE12" s="3">
        <v>-15</v>
      </c>
      <c r="AF12" s="3">
        <f>SUM(H12:K12)</f>
        <v>123</v>
      </c>
      <c r="AG12" s="3">
        <f t="shared" si="26"/>
        <v>91</v>
      </c>
      <c r="AH12" s="3">
        <f t="shared" si="27"/>
        <v>49.75</v>
      </c>
      <c r="AI12" s="14">
        <f>AVERAGE(AC12:AH12)</f>
        <v>62.958333333333336</v>
      </c>
      <c r="AJ12" s="3">
        <f>AI12</f>
        <v>62.958333333333336</v>
      </c>
      <c r="AK12" s="3">
        <f t="shared" ref="AK12:AS12" si="30">AJ12</f>
        <v>62.958333333333336</v>
      </c>
      <c r="AL12" s="3">
        <f t="shared" si="30"/>
        <v>62.958333333333336</v>
      </c>
      <c r="AM12" s="3">
        <f t="shared" si="30"/>
        <v>62.958333333333336</v>
      </c>
      <c r="AN12" s="3">
        <f t="shared" si="30"/>
        <v>62.958333333333336</v>
      </c>
      <c r="AO12" s="3">
        <f t="shared" si="30"/>
        <v>62.958333333333336</v>
      </c>
      <c r="AP12" s="3">
        <f t="shared" si="30"/>
        <v>62.958333333333336</v>
      </c>
      <c r="AQ12" s="3">
        <f t="shared" si="30"/>
        <v>62.958333333333336</v>
      </c>
      <c r="AR12" s="3">
        <f t="shared" si="30"/>
        <v>62.958333333333336</v>
      </c>
      <c r="AS12" s="3">
        <f t="shared" si="30"/>
        <v>62.958333333333336</v>
      </c>
    </row>
    <row r="13" spans="2:45" customFormat="1" x14ac:dyDescent="0.45">
      <c r="B13" t="s">
        <v>18</v>
      </c>
      <c r="C13" s="3"/>
      <c r="D13" s="3">
        <v>551</v>
      </c>
      <c r="E13" s="3">
        <v>566</v>
      </c>
      <c r="F13" s="3">
        <v>600</v>
      </c>
      <c r="G13" s="3">
        <v>642</v>
      </c>
      <c r="H13" s="3">
        <v>588</v>
      </c>
      <c r="I13" s="3">
        <v>608</v>
      </c>
      <c r="J13" s="3">
        <v>624</v>
      </c>
      <c r="K13" s="3">
        <v>727</v>
      </c>
      <c r="L13" s="3">
        <v>636</v>
      </c>
      <c r="M13" s="3">
        <v>657</v>
      </c>
      <c r="N13" s="3">
        <v>676</v>
      </c>
      <c r="O13" s="3">
        <v>794</v>
      </c>
      <c r="P13" s="3">
        <f>P7*$P$27</f>
        <v>649.98756666666679</v>
      </c>
      <c r="Q13" s="3">
        <f t="shared" ref="Q13:S13" si="31">Q7*$P$27</f>
        <v>735.51916666666671</v>
      </c>
      <c r="R13" s="3">
        <f t="shared" si="31"/>
        <v>711.89766666666674</v>
      </c>
      <c r="S13" s="3">
        <f t="shared" si="31"/>
        <v>1014.1499666666667</v>
      </c>
      <c r="T13" s="3"/>
      <c r="U13" s="3"/>
      <c r="V13" s="3"/>
      <c r="W13" s="3"/>
      <c r="X13" s="3"/>
      <c r="Y13" s="3">
        <v>676</v>
      </c>
      <c r="Z13" s="3">
        <v>672</v>
      </c>
      <c r="AA13" s="3">
        <v>675</v>
      </c>
      <c r="AB13" s="3">
        <v>969</v>
      </c>
      <c r="AC13" s="3">
        <v>2012</v>
      </c>
      <c r="AD13" s="3">
        <v>2173</v>
      </c>
      <c r="AE13" s="3">
        <v>2359</v>
      </c>
      <c r="AF13" s="3">
        <f>SUM(H13:K13)</f>
        <v>2547</v>
      </c>
      <c r="AG13" s="3">
        <f t="shared" si="26"/>
        <v>2763</v>
      </c>
      <c r="AH13" s="3">
        <f t="shared" si="27"/>
        <v>2461.5668000000001</v>
      </c>
      <c r="AI13" s="3">
        <f>AI9*$AI$27</f>
        <v>1619.54057825</v>
      </c>
      <c r="AJ13" s="3">
        <f t="shared" ref="AJ13:AS13" si="32">AJ9*$AI$27</f>
        <v>1702.8628940452502</v>
      </c>
      <c r="AK13" s="3">
        <f t="shared" si="32"/>
        <v>1808.6767638547074</v>
      </c>
      <c r="AL13" s="3">
        <f t="shared" si="32"/>
        <v>1940.490804218409</v>
      </c>
      <c r="AM13" s="3">
        <f t="shared" si="32"/>
        <v>2104.8495447230989</v>
      </c>
      <c r="AN13" s="3">
        <f t="shared" si="32"/>
        <v>2291.9362448966531</v>
      </c>
      <c r="AO13" s="3">
        <f t="shared" si="32"/>
        <v>2504.4338131728955</v>
      </c>
      <c r="AP13" s="3">
        <f t="shared" si="32"/>
        <v>2746.7863008223594</v>
      </c>
      <c r="AQ13" s="3">
        <f t="shared" si="32"/>
        <v>3024.2856411360763</v>
      </c>
      <c r="AR13" s="3">
        <f t="shared" si="32"/>
        <v>3343.2373938096375</v>
      </c>
      <c r="AS13" s="3">
        <f t="shared" si="32"/>
        <v>3711.1591180269252</v>
      </c>
    </row>
    <row r="14" spans="2:45" x14ac:dyDescent="0.45">
      <c r="B14" t="s">
        <v>20</v>
      </c>
      <c r="D14" s="3">
        <v>89</v>
      </c>
      <c r="E14" s="3">
        <v>114</v>
      </c>
      <c r="F14" s="3">
        <v>221</v>
      </c>
      <c r="G14" s="3">
        <v>212</v>
      </c>
      <c r="H14" s="3">
        <v>197</v>
      </c>
      <c r="I14" s="3">
        <v>324</v>
      </c>
      <c r="J14" s="3">
        <v>150</v>
      </c>
      <c r="K14" s="3">
        <v>293</v>
      </c>
      <c r="L14" s="3">
        <v>319</v>
      </c>
      <c r="M14" s="3">
        <v>250</v>
      </c>
      <c r="N14" s="3">
        <v>323</v>
      </c>
      <c r="O14" s="3">
        <v>84</v>
      </c>
      <c r="P14" s="14">
        <f>AVERAGE(D14:O14)</f>
        <v>214.66666666666666</v>
      </c>
      <c r="Q14" s="3">
        <f>P14</f>
        <v>214.66666666666666</v>
      </c>
      <c r="R14" s="3">
        <f t="shared" ref="R14:S14" si="33">Q14</f>
        <v>214.66666666666666</v>
      </c>
      <c r="S14" s="3">
        <f t="shared" si="33"/>
        <v>214.66666666666666</v>
      </c>
      <c r="AC14" s="3">
        <v>331</v>
      </c>
      <c r="AD14" s="3">
        <v>207</v>
      </c>
      <c r="AE14" s="3">
        <v>636</v>
      </c>
      <c r="AF14" s="3">
        <f>SUM(H14:K14)</f>
        <v>964</v>
      </c>
      <c r="AG14" s="3">
        <f t="shared" si="26"/>
        <v>976</v>
      </c>
      <c r="AH14" s="3">
        <f t="shared" si="27"/>
        <v>644</v>
      </c>
      <c r="AI14" s="14">
        <f>AVERAGE(AC14:AH14)</f>
        <v>626.33333333333337</v>
      </c>
      <c r="AJ14" s="3">
        <f>AI14</f>
        <v>626.33333333333337</v>
      </c>
      <c r="AK14" s="3">
        <f t="shared" ref="AK14:AS14" si="34">AJ14</f>
        <v>626.33333333333337</v>
      </c>
      <c r="AL14" s="3">
        <f t="shared" si="34"/>
        <v>626.33333333333337</v>
      </c>
      <c r="AM14" s="3">
        <f t="shared" si="34"/>
        <v>626.33333333333337</v>
      </c>
      <c r="AN14" s="3">
        <f t="shared" si="34"/>
        <v>626.33333333333337</v>
      </c>
      <c r="AO14" s="3">
        <f t="shared" si="34"/>
        <v>626.33333333333337</v>
      </c>
      <c r="AP14" s="3">
        <f t="shared" si="34"/>
        <v>626.33333333333337</v>
      </c>
      <c r="AQ14" s="3">
        <f t="shared" si="34"/>
        <v>626.33333333333337</v>
      </c>
      <c r="AR14" s="3">
        <f t="shared" si="34"/>
        <v>626.33333333333337</v>
      </c>
      <c r="AS14" s="3">
        <f t="shared" si="34"/>
        <v>626.33333333333337</v>
      </c>
    </row>
    <row r="15" spans="2:45" x14ac:dyDescent="0.45">
      <c r="B15" t="s">
        <v>21</v>
      </c>
      <c r="D15" s="3">
        <v>1956</v>
      </c>
      <c r="E15" s="3">
        <v>2164</v>
      </c>
      <c r="F15" s="3">
        <v>2337</v>
      </c>
      <c r="G15" s="3">
        <v>2939</v>
      </c>
      <c r="H15" s="3">
        <v>2282</v>
      </c>
      <c r="I15" s="3">
        <v>2675</v>
      </c>
      <c r="J15" s="3">
        <v>2694</v>
      </c>
      <c r="K15" s="3">
        <v>2443</v>
      </c>
      <c r="L15" s="3">
        <v>2138</v>
      </c>
      <c r="M15" s="3">
        <v>2074</v>
      </c>
      <c r="N15" s="3">
        <v>1979</v>
      </c>
      <c r="O15" s="3">
        <v>2125</v>
      </c>
      <c r="P15" s="3">
        <f>P7*$P$28</f>
        <v>1857.1073333333334</v>
      </c>
      <c r="Q15" s="3">
        <f t="shared" ref="Q15:S15" si="35">Q7*$P$28</f>
        <v>2101.4833333333331</v>
      </c>
      <c r="R15" s="3">
        <f t="shared" si="35"/>
        <v>2033.9933333333336</v>
      </c>
      <c r="S15" s="3">
        <f t="shared" si="35"/>
        <v>2897.5713333333333</v>
      </c>
      <c r="Y15" s="3">
        <v>3439</v>
      </c>
      <c r="Z15" s="3">
        <v>3884</v>
      </c>
      <c r="AA15" s="3">
        <v>4048</v>
      </c>
      <c r="AB15" s="3">
        <v>5025</v>
      </c>
      <c r="AC15" s="3">
        <v>6470</v>
      </c>
      <c r="AD15" s="3">
        <v>7247</v>
      </c>
      <c r="AE15" s="3">
        <v>9396</v>
      </c>
      <c r="AF15" s="3">
        <v>9956</v>
      </c>
      <c r="AG15" s="3">
        <f t="shared" si="26"/>
        <v>8316</v>
      </c>
      <c r="AH15" s="3">
        <f t="shared" si="27"/>
        <v>7033.0479999999998</v>
      </c>
      <c r="AI15" s="3">
        <f>AI9*$AI$28</f>
        <v>4627.2587949999997</v>
      </c>
      <c r="AJ15" s="3">
        <f t="shared" ref="AJ15:AS15" si="36">AJ9*$AI$28</f>
        <v>4865.322554415</v>
      </c>
      <c r="AK15" s="3">
        <f t="shared" si="36"/>
        <v>5167.6478967277353</v>
      </c>
      <c r="AL15" s="3">
        <f t="shared" si="36"/>
        <v>5544.259440624026</v>
      </c>
      <c r="AM15" s="3">
        <f t="shared" si="36"/>
        <v>6013.8558420659965</v>
      </c>
      <c r="AN15" s="3">
        <f t="shared" si="36"/>
        <v>6548.3892711332946</v>
      </c>
      <c r="AO15" s="3">
        <f t="shared" si="36"/>
        <v>7155.5251804939871</v>
      </c>
      <c r="AP15" s="3">
        <f t="shared" si="36"/>
        <v>7847.9608594924548</v>
      </c>
      <c r="AQ15" s="3">
        <f t="shared" si="36"/>
        <v>8640.8161175316473</v>
      </c>
      <c r="AR15" s="3">
        <f t="shared" si="36"/>
        <v>9552.1068394561062</v>
      </c>
      <c r="AS15" s="3">
        <f t="shared" si="36"/>
        <v>10603.311765791215</v>
      </c>
    </row>
    <row r="16" spans="2:45" x14ac:dyDescent="0.45">
      <c r="B16" t="s">
        <v>22</v>
      </c>
      <c r="D16" s="4">
        <f t="shared" ref="D16:E16" si="37">D9-D10-D11-D12-D13-D14-D15</f>
        <v>664</v>
      </c>
      <c r="E16" s="4">
        <f t="shared" si="37"/>
        <v>1053</v>
      </c>
      <c r="F16" s="4">
        <f t="shared" ref="F16:G16" si="38">F9-F10-F11-F12-F13-F14-F15</f>
        <v>1385</v>
      </c>
      <c r="G16" s="4">
        <f t="shared" si="38"/>
        <v>2054</v>
      </c>
      <c r="H16" s="4">
        <f>H9-H10-H11-H12-H13-H14-H15</f>
        <v>1112</v>
      </c>
      <c r="I16" s="4">
        <f>I9-I10-I11-I12-I13-I14-I15</f>
        <v>1270</v>
      </c>
      <c r="J16" s="4">
        <f t="shared" ref="J16:M16" si="39">J9-J10-J11-J12-J13-J14-J15</f>
        <v>1481</v>
      </c>
      <c r="K16" s="4">
        <f t="shared" si="39"/>
        <v>1300</v>
      </c>
      <c r="L16" s="4">
        <f t="shared" si="39"/>
        <v>38</v>
      </c>
      <c r="M16" s="4">
        <f t="shared" si="39"/>
        <v>-98</v>
      </c>
      <c r="N16" s="4">
        <f>N9-N10-N11-N12-N13-N14-N15</f>
        <v>-1623</v>
      </c>
      <c r="O16" s="4">
        <f>O9-O10-O11-O12-O13-O14-O15</f>
        <v>90</v>
      </c>
      <c r="P16" s="4">
        <f>P9-P10-P11-P12-P13-P14-P15</f>
        <v>-1438.3697666666667</v>
      </c>
      <c r="Q16" s="4">
        <f t="shared" ref="Q16:S16" si="40">Q9-Q10-Q11-Q12-Q13-Q14-Q15</f>
        <v>-966.76916666666693</v>
      </c>
      <c r="R16" s="4">
        <f t="shared" si="40"/>
        <v>-460.07425000000057</v>
      </c>
      <c r="S16" s="4">
        <f t="shared" si="40"/>
        <v>493.14283333333378</v>
      </c>
      <c r="T16" s="4"/>
      <c r="Y16" s="4">
        <f t="shared" ref="Y16" si="41">Y9-Y10-Y11-Y12-Y13-Y14-Y15</f>
        <v>1331</v>
      </c>
      <c r="Z16" s="4">
        <f t="shared" ref="Z16" si="42">Z9-Z10-Z11-Z12-Z13-Z14-Z15</f>
        <v>2022</v>
      </c>
      <c r="AA16" s="4">
        <f t="shared" ref="AA16" si="43">AA9-AA10-AA11-AA12-AA13-AA14-AA15</f>
        <v>2461</v>
      </c>
      <c r="AB16" s="4">
        <f t="shared" ref="AB16" si="44">AB9-AB10-AB11-AB12-AB13-AB14-AB15</f>
        <v>2121</v>
      </c>
      <c r="AC16" s="4">
        <f t="shared" ref="AC16:AD16" si="45">AC9-AC10-AC11-AC12-AC13-AC14-AC15</f>
        <v>3383</v>
      </c>
      <c r="AD16" s="4">
        <f t="shared" si="45"/>
        <v>4377</v>
      </c>
      <c r="AE16" s="4">
        <f>AE9-AE10-AE11-AE12-AE13-AE14-AE15</f>
        <v>5156</v>
      </c>
      <c r="AF16" s="4">
        <f>AF9-AF10-AF11-AF12-AF13-AF14-AF15</f>
        <v>5163</v>
      </c>
      <c r="AG16" s="4">
        <f t="shared" ref="AG16:AG21" si="46">SUM(L16:P16)</f>
        <v>-3031.3697666666667</v>
      </c>
      <c r="AH16" s="4">
        <f t="shared" si="27"/>
        <v>-933.70058333333373</v>
      </c>
      <c r="AI16" s="4">
        <f>AI9-AI10-AI11-AI12-AI13-AI14-AI15</f>
        <v>9259.3147425833304</v>
      </c>
      <c r="AJ16" s="4">
        <f t="shared" ref="AJ16:AS16" si="47">AJ9-AJ10-AJ11-AJ12-AJ13-AJ14-AJ15</f>
        <v>9771.1518253255854</v>
      </c>
      <c r="AK16" s="4">
        <f t="shared" si="47"/>
        <v>10421.151311297959</v>
      </c>
      <c r="AL16" s="4">
        <f t="shared" si="47"/>
        <v>11230.866130674991</v>
      </c>
      <c r="AM16" s="4">
        <f t="shared" si="47"/>
        <v>12240.498393775222</v>
      </c>
      <c r="AN16" s="4">
        <f t="shared" si="47"/>
        <v>13389.745266269914</v>
      </c>
      <c r="AO16" s="4">
        <f t="shared" si="47"/>
        <v>14695.087471395407</v>
      </c>
      <c r="AP16" s="4">
        <f t="shared" si="47"/>
        <v>16183.824181242111</v>
      </c>
      <c r="AQ16" s="4">
        <f t="shared" si="47"/>
        <v>17888.462986026367</v>
      </c>
      <c r="AR16" s="4">
        <f t="shared" si="47"/>
        <v>19847.73803816396</v>
      </c>
      <c r="AS16" s="4">
        <f t="shared" si="47"/>
        <v>22107.828629784435</v>
      </c>
    </row>
    <row r="17" spans="1:131" x14ac:dyDescent="0.45">
      <c r="B17" t="s">
        <v>23</v>
      </c>
      <c r="D17" s="3">
        <v>-4</v>
      </c>
      <c r="E17" s="3">
        <v>10</v>
      </c>
      <c r="F17" s="3">
        <v>14</v>
      </c>
      <c r="G17" s="3">
        <v>114</v>
      </c>
      <c r="H17" s="3">
        <v>30</v>
      </c>
      <c r="I17" s="3">
        <v>-27</v>
      </c>
      <c r="J17" s="3">
        <v>34</v>
      </c>
      <c r="K17" s="3">
        <v>120</v>
      </c>
      <c r="L17" s="3">
        <v>-57</v>
      </c>
      <c r="M17" s="3">
        <v>-204</v>
      </c>
      <c r="N17" s="3">
        <v>-26</v>
      </c>
      <c r="O17" s="3">
        <v>45</v>
      </c>
      <c r="P17" s="14">
        <f>AVERAGE(K17:N17)</f>
        <v>-41.75</v>
      </c>
      <c r="Q17" s="3">
        <f>P17</f>
        <v>-41.75</v>
      </c>
      <c r="R17" s="3">
        <f t="shared" ref="R17:S18" si="48">Q17</f>
        <v>-41.75</v>
      </c>
      <c r="S17" s="3">
        <f t="shared" si="48"/>
        <v>-41.75</v>
      </c>
      <c r="Y17" s="3">
        <v>-85</v>
      </c>
      <c r="Z17" s="3">
        <v>-19</v>
      </c>
      <c r="AA17" s="3">
        <v>-93</v>
      </c>
      <c r="AB17" s="3">
        <v>14</v>
      </c>
      <c r="AC17" s="3">
        <v>4</v>
      </c>
      <c r="AD17" s="3">
        <v>42</v>
      </c>
      <c r="AE17" s="3">
        <v>134</v>
      </c>
      <c r="AF17" s="3">
        <f>SUM(H17:K17)</f>
        <v>157</v>
      </c>
      <c r="AG17" s="3">
        <f t="shared" si="46"/>
        <v>-283.75</v>
      </c>
      <c r="AH17" s="3">
        <f t="shared" si="27"/>
        <v>-125.25</v>
      </c>
      <c r="AI17" s="14">
        <v>-100</v>
      </c>
      <c r="AJ17" s="3">
        <f>AI17+(($AS$17-$AI$17)/($AS$1-$AI$1))</f>
        <v>-70</v>
      </c>
      <c r="AK17" s="3">
        <f t="shared" ref="AK17:AR17" si="49">AJ17+(($AS$17-$AI$17)/($AS$1-$AI$1))</f>
        <v>-40</v>
      </c>
      <c r="AL17" s="3">
        <f t="shared" si="49"/>
        <v>-10</v>
      </c>
      <c r="AM17" s="3">
        <f t="shared" si="49"/>
        <v>20</v>
      </c>
      <c r="AN17" s="3">
        <f t="shared" si="49"/>
        <v>50</v>
      </c>
      <c r="AO17" s="3">
        <f t="shared" si="49"/>
        <v>80</v>
      </c>
      <c r="AP17" s="3">
        <f t="shared" si="49"/>
        <v>110</v>
      </c>
      <c r="AQ17" s="3">
        <f t="shared" si="49"/>
        <v>140</v>
      </c>
      <c r="AR17" s="3">
        <f t="shared" si="49"/>
        <v>170</v>
      </c>
      <c r="AS17" s="14">
        <v>200</v>
      </c>
    </row>
    <row r="18" spans="1:131" x14ac:dyDescent="0.45">
      <c r="B18" t="s">
        <v>24</v>
      </c>
      <c r="D18" s="3">
        <v>63</v>
      </c>
      <c r="E18" s="3">
        <v>40</v>
      </c>
      <c r="F18" s="3">
        <v>53</v>
      </c>
      <c r="G18" s="3">
        <v>168</v>
      </c>
      <c r="H18" s="3">
        <v>78</v>
      </c>
      <c r="I18" s="3">
        <v>43</v>
      </c>
      <c r="J18" s="3">
        <v>20</v>
      </c>
      <c r="K18" s="3">
        <v>29</v>
      </c>
      <c r="L18" s="3">
        <v>43</v>
      </c>
      <c r="M18" s="3">
        <v>87</v>
      </c>
      <c r="N18" s="3">
        <v>17</v>
      </c>
      <c r="O18" s="3">
        <v>105</v>
      </c>
      <c r="P18" s="14">
        <v>0</v>
      </c>
      <c r="Q18" s="3">
        <f>P18</f>
        <v>0</v>
      </c>
      <c r="R18" s="3">
        <f t="shared" si="48"/>
        <v>0</v>
      </c>
      <c r="S18" s="3">
        <f t="shared" si="48"/>
        <v>0</v>
      </c>
      <c r="Y18" s="3">
        <v>129</v>
      </c>
      <c r="Z18" s="3">
        <v>81</v>
      </c>
      <c r="AA18" s="3">
        <v>63</v>
      </c>
      <c r="AB18" s="3">
        <v>451</v>
      </c>
      <c r="AC18" s="3">
        <v>623</v>
      </c>
      <c r="AD18" s="3">
        <v>238</v>
      </c>
      <c r="AE18" s="3">
        <v>324</v>
      </c>
      <c r="AF18" s="3">
        <f>SUM(H18:K18)</f>
        <v>170</v>
      </c>
      <c r="AG18" s="3">
        <f t="shared" si="46"/>
        <v>252</v>
      </c>
      <c r="AH18" s="3">
        <f t="shared" si="27"/>
        <v>0</v>
      </c>
      <c r="AI18" s="14">
        <v>0</v>
      </c>
      <c r="AJ18" s="3">
        <f>AI18</f>
        <v>0</v>
      </c>
      <c r="AK18" s="3">
        <f t="shared" ref="AK18:AS18" si="50">AJ18</f>
        <v>0</v>
      </c>
      <c r="AL18" s="3">
        <f t="shared" si="50"/>
        <v>0</v>
      </c>
      <c r="AM18" s="3">
        <f t="shared" si="50"/>
        <v>0</v>
      </c>
      <c r="AN18" s="3">
        <f t="shared" si="50"/>
        <v>0</v>
      </c>
      <c r="AO18" s="3">
        <f t="shared" si="50"/>
        <v>0</v>
      </c>
      <c r="AP18" s="3">
        <f t="shared" si="50"/>
        <v>0</v>
      </c>
      <c r="AQ18" s="3">
        <f t="shared" si="50"/>
        <v>0</v>
      </c>
      <c r="AR18" s="3">
        <f t="shared" si="50"/>
        <v>0</v>
      </c>
      <c r="AS18" s="3">
        <f t="shared" si="50"/>
        <v>0</v>
      </c>
    </row>
    <row r="19" spans="1:131" x14ac:dyDescent="0.45">
      <c r="B19" t="s">
        <v>25</v>
      </c>
      <c r="D19" s="4">
        <f t="shared" ref="D19:E19" si="51">D16+D17-D18</f>
        <v>597</v>
      </c>
      <c r="E19" s="4">
        <f t="shared" si="51"/>
        <v>1023</v>
      </c>
      <c r="F19" s="4">
        <f t="shared" ref="F19:G19" si="52">F16+F17-F18</f>
        <v>1346</v>
      </c>
      <c r="G19" s="4">
        <f t="shared" si="52"/>
        <v>2000</v>
      </c>
      <c r="H19" s="4">
        <f>H16+H17-H18</f>
        <v>1064</v>
      </c>
      <c r="I19" s="4">
        <f>I16+I17-I18</f>
        <v>1200</v>
      </c>
      <c r="J19" s="4">
        <f t="shared" ref="J19:M19" si="53">J16+J17-J18</f>
        <v>1495</v>
      </c>
      <c r="K19" s="4">
        <f t="shared" si="53"/>
        <v>1391</v>
      </c>
      <c r="L19" s="4">
        <f t="shared" si="53"/>
        <v>-62</v>
      </c>
      <c r="M19" s="4">
        <f t="shared" si="53"/>
        <v>-389</v>
      </c>
      <c r="N19" s="4">
        <f>N16+N17-N18</f>
        <v>-1666</v>
      </c>
      <c r="O19" s="4">
        <f>O16+O17-O18</f>
        <v>30</v>
      </c>
      <c r="P19" s="4">
        <f>P16+P17-P18</f>
        <v>-1480.1197666666667</v>
      </c>
      <c r="Q19" s="4">
        <f t="shared" ref="Q19:S19" si="54">Q16+Q17-Q18</f>
        <v>-1008.5191666666669</v>
      </c>
      <c r="R19" s="4">
        <f t="shared" si="54"/>
        <v>-501.82425000000057</v>
      </c>
      <c r="S19" s="4">
        <f t="shared" si="54"/>
        <v>451.39283333333378</v>
      </c>
      <c r="T19" s="4"/>
      <c r="Y19" s="4">
        <f t="shared" ref="Y19" si="55">Y16+Y17-Y18</f>
        <v>1117</v>
      </c>
      <c r="Z19" s="4">
        <f t="shared" ref="Z19" si="56">Z16+Z17-Z18</f>
        <v>1922</v>
      </c>
      <c r="AA19" s="4">
        <f t="shared" ref="AA19" si="57">AA16+AA17-AA18</f>
        <v>2305</v>
      </c>
      <c r="AB19" s="4">
        <f t="shared" ref="AB19" si="58">AB16+AB17-AB18</f>
        <v>1684</v>
      </c>
      <c r="AC19" s="4">
        <f t="shared" ref="AC19:AD19" si="59">AC16+AC17-AC18</f>
        <v>2764</v>
      </c>
      <c r="AD19" s="4">
        <f t="shared" si="59"/>
        <v>4181</v>
      </c>
      <c r="AE19" s="4">
        <f>AE16+AE17-AE18</f>
        <v>4966</v>
      </c>
      <c r="AF19" s="4">
        <f>AF16+AF17-AF18</f>
        <v>5150</v>
      </c>
      <c r="AG19" s="4">
        <f t="shared" si="46"/>
        <v>-3567.1197666666667</v>
      </c>
      <c r="AH19" s="4">
        <f t="shared" si="27"/>
        <v>-1058.9505833333337</v>
      </c>
      <c r="AI19" s="4">
        <f>AI16+AI17-AI18</f>
        <v>9159.3147425833304</v>
      </c>
      <c r="AJ19" s="4">
        <f t="shared" ref="AJ19:AS19" si="60">AJ16+AJ17-AJ18</f>
        <v>9701.1518253255854</v>
      </c>
      <c r="AK19" s="4">
        <f t="shared" si="60"/>
        <v>10381.151311297959</v>
      </c>
      <c r="AL19" s="4">
        <f t="shared" si="60"/>
        <v>11220.866130674991</v>
      </c>
      <c r="AM19" s="4">
        <f t="shared" si="60"/>
        <v>12260.498393775222</v>
      </c>
      <c r="AN19" s="4">
        <f t="shared" si="60"/>
        <v>13439.745266269914</v>
      </c>
      <c r="AO19" s="4">
        <f t="shared" si="60"/>
        <v>14775.087471395407</v>
      </c>
      <c r="AP19" s="4">
        <f t="shared" si="60"/>
        <v>16293.824181242111</v>
      </c>
      <c r="AQ19" s="4">
        <f t="shared" si="60"/>
        <v>18028.462986026367</v>
      </c>
      <c r="AR19" s="4">
        <f t="shared" si="60"/>
        <v>20017.73803816396</v>
      </c>
      <c r="AS19" s="4">
        <f t="shared" si="60"/>
        <v>22307.828629784435</v>
      </c>
    </row>
    <row r="20" spans="1:131" x14ac:dyDescent="0.45">
      <c r="B20" t="s">
        <v>26</v>
      </c>
      <c r="D20" s="3">
        <v>-152</v>
      </c>
      <c r="E20" s="3">
        <v>249</v>
      </c>
      <c r="F20" s="3">
        <v>167</v>
      </c>
      <c r="G20" s="3">
        <v>265</v>
      </c>
      <c r="H20" s="3">
        <v>59</v>
      </c>
      <c r="I20" s="3">
        <v>231</v>
      </c>
      <c r="J20" s="3">
        <v>135</v>
      </c>
      <c r="K20" s="3">
        <v>311</v>
      </c>
      <c r="L20" s="3">
        <v>-164</v>
      </c>
      <c r="M20" s="3">
        <v>-96</v>
      </c>
      <c r="N20" s="3">
        <v>-590</v>
      </c>
      <c r="O20" s="3">
        <v>110</v>
      </c>
      <c r="P20" s="3">
        <v>0</v>
      </c>
      <c r="Q20" s="3">
        <v>0</v>
      </c>
      <c r="R20" s="3">
        <v>0</v>
      </c>
      <c r="S20" s="3">
        <v>0</v>
      </c>
      <c r="Y20" s="3">
        <v>165</v>
      </c>
      <c r="Z20" s="3">
        <v>189</v>
      </c>
      <c r="AA20" s="3">
        <v>275</v>
      </c>
      <c r="AB20" s="3">
        <v>165</v>
      </c>
      <c r="AC20" s="3">
        <v>586</v>
      </c>
      <c r="AD20" s="3">
        <v>686</v>
      </c>
      <c r="AE20" s="3">
        <v>529</v>
      </c>
      <c r="AF20" s="3">
        <f>SUM(H20:K20)</f>
        <v>736</v>
      </c>
      <c r="AG20" s="3">
        <f t="shared" si="46"/>
        <v>-740</v>
      </c>
      <c r="AH20" s="3">
        <f t="shared" si="27"/>
        <v>0</v>
      </c>
      <c r="AI20" s="3">
        <f>AI19*AI31</f>
        <v>2289.8286856458326</v>
      </c>
      <c r="AJ20" s="3">
        <f t="shared" ref="AJ20:AS20" si="61">AJ19*AJ31</f>
        <v>2425.2879563313963</v>
      </c>
      <c r="AK20" s="3">
        <f t="shared" si="61"/>
        <v>2595.2878278244898</v>
      </c>
      <c r="AL20" s="3">
        <f t="shared" si="61"/>
        <v>2805.2165326687477</v>
      </c>
      <c r="AM20" s="3">
        <f t="shared" si="61"/>
        <v>3065.1245984438056</v>
      </c>
      <c r="AN20" s="3">
        <f t="shared" si="61"/>
        <v>3359.9363165674786</v>
      </c>
      <c r="AO20" s="3">
        <f t="shared" si="61"/>
        <v>3693.7718678488518</v>
      </c>
      <c r="AP20" s="3">
        <f t="shared" si="61"/>
        <v>4073.4560453105278</v>
      </c>
      <c r="AQ20" s="3">
        <f t="shared" si="61"/>
        <v>4507.1157465065917</v>
      </c>
      <c r="AR20" s="3">
        <f t="shared" si="61"/>
        <v>5004.4345095409899</v>
      </c>
      <c r="AS20" s="3">
        <f t="shared" si="61"/>
        <v>5576.9571574461088</v>
      </c>
    </row>
    <row r="21" spans="1:131" x14ac:dyDescent="0.45">
      <c r="B21" s="7" t="s">
        <v>27</v>
      </c>
      <c r="D21" s="6">
        <f t="shared" ref="D21:E21" si="62">D19-D20</f>
        <v>749</v>
      </c>
      <c r="E21" s="6">
        <f t="shared" si="62"/>
        <v>774</v>
      </c>
      <c r="F21" s="6">
        <f>F19-F20</f>
        <v>1179</v>
      </c>
      <c r="G21" s="6">
        <f t="shared" ref="G21:N21" si="63">G19-G20</f>
        <v>1735</v>
      </c>
      <c r="H21" s="6">
        <f t="shared" si="63"/>
        <v>1005</v>
      </c>
      <c r="I21" s="6">
        <f t="shared" si="63"/>
        <v>969</v>
      </c>
      <c r="J21" s="6">
        <f t="shared" si="63"/>
        <v>1360</v>
      </c>
      <c r="K21" s="6">
        <f t="shared" si="63"/>
        <v>1080</v>
      </c>
      <c r="L21" s="6">
        <f t="shared" si="63"/>
        <v>102</v>
      </c>
      <c r="M21" s="6">
        <f t="shared" si="63"/>
        <v>-293</v>
      </c>
      <c r="N21" s="6">
        <f t="shared" si="63"/>
        <v>-1076</v>
      </c>
      <c r="O21" s="6">
        <f>O19-O20</f>
        <v>-80</v>
      </c>
      <c r="P21" s="4">
        <f>P19-P20</f>
        <v>-1480.1197666666667</v>
      </c>
      <c r="Q21" s="4">
        <f t="shared" ref="Q21:S21" si="64">Q19-Q20</f>
        <v>-1008.5191666666669</v>
      </c>
      <c r="R21" s="4">
        <f t="shared" si="64"/>
        <v>-501.82425000000057</v>
      </c>
      <c r="S21" s="4">
        <f t="shared" si="64"/>
        <v>451.39283333333378</v>
      </c>
      <c r="T21" s="4"/>
      <c r="Y21" s="6">
        <f t="shared" ref="Y21:AB21" si="65">Y19-Y20</f>
        <v>952</v>
      </c>
      <c r="Z21" s="6">
        <f t="shared" si="65"/>
        <v>1733</v>
      </c>
      <c r="AA21" s="6">
        <f t="shared" si="65"/>
        <v>2030</v>
      </c>
      <c r="AB21" s="6">
        <f t="shared" si="65"/>
        <v>1519</v>
      </c>
      <c r="AC21" s="6">
        <f>AC19-AC20</f>
        <v>2178</v>
      </c>
      <c r="AD21" s="6">
        <f t="shared" ref="AD21:AF21" si="66">AD19-AD20</f>
        <v>3495</v>
      </c>
      <c r="AE21" s="6">
        <f t="shared" si="66"/>
        <v>4437</v>
      </c>
      <c r="AF21" s="6">
        <f t="shared" si="66"/>
        <v>4414</v>
      </c>
      <c r="AG21" s="6">
        <f t="shared" si="46"/>
        <v>-2827.1197666666667</v>
      </c>
      <c r="AH21" s="6">
        <f t="shared" si="27"/>
        <v>-1058.9505833333337</v>
      </c>
      <c r="AI21" s="6">
        <f>AI19-AI20</f>
        <v>6869.4860569374978</v>
      </c>
      <c r="AJ21" s="6">
        <f t="shared" ref="AJ21:AS21" si="67">AJ19-AJ20</f>
        <v>7275.863868994189</v>
      </c>
      <c r="AK21" s="6">
        <f t="shared" si="67"/>
        <v>7785.8634834734694</v>
      </c>
      <c r="AL21" s="6">
        <f t="shared" si="67"/>
        <v>8415.6495980062427</v>
      </c>
      <c r="AM21" s="6">
        <f t="shared" si="67"/>
        <v>9195.3737953314157</v>
      </c>
      <c r="AN21" s="6">
        <f t="shared" si="67"/>
        <v>10079.808949702436</v>
      </c>
      <c r="AO21" s="6">
        <f t="shared" si="67"/>
        <v>11081.315603546554</v>
      </c>
      <c r="AP21" s="6">
        <f t="shared" si="67"/>
        <v>12220.368135931583</v>
      </c>
      <c r="AQ21" s="6">
        <f t="shared" si="67"/>
        <v>13521.347239519775</v>
      </c>
      <c r="AR21" s="6">
        <f t="shared" si="67"/>
        <v>15013.30352862297</v>
      </c>
      <c r="AS21" s="6">
        <f t="shared" si="67"/>
        <v>16730.871472338327</v>
      </c>
      <c r="AT21" s="6">
        <f>AS21*(1+$AY$27)</f>
        <v>17065.488901785095</v>
      </c>
      <c r="AU21" s="6">
        <f t="shared" ref="AU21:DF21" si="68">AT21*(1+$AY$27)</f>
        <v>17406.798679820797</v>
      </c>
      <c r="AV21" s="6">
        <f t="shared" si="68"/>
        <v>17754.934653417215</v>
      </c>
      <c r="AW21" s="6">
        <f t="shared" si="68"/>
        <v>18110.033346485558</v>
      </c>
      <c r="AX21" s="6">
        <f t="shared" si="68"/>
        <v>18472.234013415269</v>
      </c>
      <c r="AY21" s="6">
        <f t="shared" si="68"/>
        <v>18841.678693683574</v>
      </c>
      <c r="AZ21" s="6">
        <f t="shared" si="68"/>
        <v>19218.512267557246</v>
      </c>
      <c r="BA21" s="6">
        <f t="shared" si="68"/>
        <v>19602.882512908393</v>
      </c>
      <c r="BB21" s="6">
        <f t="shared" si="68"/>
        <v>19994.940163166561</v>
      </c>
      <c r="BC21" s="6">
        <f t="shared" si="68"/>
        <v>20394.838966429892</v>
      </c>
      <c r="BD21" s="6">
        <f t="shared" si="68"/>
        <v>20802.735745758491</v>
      </c>
      <c r="BE21" s="6">
        <f t="shared" si="68"/>
        <v>21218.790460673663</v>
      </c>
      <c r="BF21" s="6">
        <f t="shared" si="68"/>
        <v>21643.166269887137</v>
      </c>
      <c r="BG21" s="6">
        <f t="shared" si="68"/>
        <v>22076.029595284879</v>
      </c>
      <c r="BH21" s="6">
        <f t="shared" si="68"/>
        <v>22517.550187190576</v>
      </c>
      <c r="BI21" s="6">
        <f t="shared" si="68"/>
        <v>22967.90119093439</v>
      </c>
      <c r="BJ21" s="6">
        <f t="shared" si="68"/>
        <v>23427.259214753078</v>
      </c>
      <c r="BK21" s="6">
        <f t="shared" si="68"/>
        <v>23895.804399048138</v>
      </c>
      <c r="BL21" s="6">
        <f t="shared" si="68"/>
        <v>24373.720487029103</v>
      </c>
      <c r="BM21" s="6">
        <f t="shared" si="68"/>
        <v>24861.194896769684</v>
      </c>
      <c r="BN21" s="6">
        <f t="shared" si="68"/>
        <v>25358.418794705078</v>
      </c>
      <c r="BO21" s="6">
        <f t="shared" si="68"/>
        <v>25865.587170599181</v>
      </c>
      <c r="BP21" s="6">
        <f t="shared" si="68"/>
        <v>26382.898914011166</v>
      </c>
      <c r="BQ21" s="6">
        <f t="shared" si="68"/>
        <v>26910.556892291392</v>
      </c>
      <c r="BR21" s="6">
        <f t="shared" si="68"/>
        <v>27448.76803013722</v>
      </c>
      <c r="BS21" s="6">
        <f t="shared" si="68"/>
        <v>27997.743390739965</v>
      </c>
      <c r="BT21" s="6">
        <f t="shared" si="68"/>
        <v>28557.698258554763</v>
      </c>
      <c r="BU21" s="6">
        <f t="shared" si="68"/>
        <v>29128.852223725858</v>
      </c>
      <c r="BV21" s="6">
        <f t="shared" si="68"/>
        <v>29711.429268200376</v>
      </c>
      <c r="BW21" s="6">
        <f t="shared" si="68"/>
        <v>30305.657853564386</v>
      </c>
      <c r="BX21" s="6">
        <f t="shared" si="68"/>
        <v>30911.771010635675</v>
      </c>
      <c r="BY21" s="6">
        <f t="shared" si="68"/>
        <v>31530.006430848389</v>
      </c>
      <c r="BZ21" s="6">
        <f t="shared" si="68"/>
        <v>32160.606559465356</v>
      </c>
      <c r="CA21" s="6">
        <f t="shared" si="68"/>
        <v>32803.818690654662</v>
      </c>
      <c r="CB21" s="6">
        <f t="shared" si="68"/>
        <v>33459.895064467753</v>
      </c>
      <c r="CC21" s="6">
        <f t="shared" si="68"/>
        <v>34129.092965757111</v>
      </c>
      <c r="CD21" s="6">
        <f t="shared" si="68"/>
        <v>34811.674825072252</v>
      </c>
      <c r="CE21" s="6">
        <f t="shared" si="68"/>
        <v>35507.908321573697</v>
      </c>
      <c r="CF21" s="6">
        <f t="shared" si="68"/>
        <v>36218.06648800517</v>
      </c>
      <c r="CG21" s="6">
        <f t="shared" si="68"/>
        <v>36942.427817765274</v>
      </c>
      <c r="CH21" s="6">
        <f t="shared" si="68"/>
        <v>37681.276374120578</v>
      </c>
      <c r="CI21" s="6">
        <f t="shared" si="68"/>
        <v>38434.901901602992</v>
      </c>
      <c r="CJ21" s="6">
        <f t="shared" si="68"/>
        <v>39203.599939635053</v>
      </c>
      <c r="CK21" s="6">
        <f t="shared" si="68"/>
        <v>39987.671938427753</v>
      </c>
      <c r="CL21" s="6">
        <f t="shared" si="68"/>
        <v>40787.425377196312</v>
      </c>
      <c r="CM21" s="6">
        <f t="shared" si="68"/>
        <v>41603.173884740238</v>
      </c>
      <c r="CN21" s="6">
        <f t="shared" si="68"/>
        <v>42435.237362435044</v>
      </c>
      <c r="CO21" s="6">
        <f t="shared" si="68"/>
        <v>43283.942109683747</v>
      </c>
      <c r="CP21" s="6">
        <f t="shared" si="68"/>
        <v>44149.620951877419</v>
      </c>
      <c r="CQ21" s="6">
        <f t="shared" si="68"/>
        <v>45032.613370914965</v>
      </c>
      <c r="CR21" s="6">
        <f t="shared" si="68"/>
        <v>45933.265638333265</v>
      </c>
      <c r="CS21" s="6">
        <f t="shared" si="68"/>
        <v>46851.93095109993</v>
      </c>
      <c r="CT21" s="6">
        <f t="shared" si="68"/>
        <v>47788.969570121932</v>
      </c>
      <c r="CU21" s="6">
        <f t="shared" si="68"/>
        <v>48744.748961524368</v>
      </c>
      <c r="CV21" s="6">
        <f t="shared" si="68"/>
        <v>49719.643940754853</v>
      </c>
      <c r="CW21" s="6">
        <f t="shared" si="68"/>
        <v>50714.036819569948</v>
      </c>
      <c r="CX21" s="6">
        <f t="shared" si="68"/>
        <v>51728.317555961352</v>
      </c>
      <c r="CY21" s="6">
        <f t="shared" si="68"/>
        <v>52762.883907080577</v>
      </c>
      <c r="CZ21" s="6">
        <f t="shared" si="68"/>
        <v>53818.141585222191</v>
      </c>
      <c r="DA21" s="6">
        <f t="shared" si="68"/>
        <v>54894.504416926633</v>
      </c>
      <c r="DB21" s="6">
        <f t="shared" si="68"/>
        <v>55992.394505265169</v>
      </c>
      <c r="DC21" s="6">
        <f t="shared" si="68"/>
        <v>57112.242395370471</v>
      </c>
      <c r="DD21" s="6">
        <f t="shared" si="68"/>
        <v>58254.487243277879</v>
      </c>
      <c r="DE21" s="6">
        <f t="shared" si="68"/>
        <v>59419.576988143439</v>
      </c>
      <c r="DF21" s="6">
        <f t="shared" si="68"/>
        <v>60607.968527906312</v>
      </c>
      <c r="DG21" s="6">
        <f t="shared" ref="DG21:EA21" si="69">DF21*(1+$AY$27)</f>
        <v>61820.127898464438</v>
      </c>
      <c r="DH21" s="6">
        <f t="shared" si="69"/>
        <v>63056.530456433728</v>
      </c>
      <c r="DI21" s="6">
        <f t="shared" si="69"/>
        <v>64317.661065562403</v>
      </c>
      <c r="DJ21" s="6">
        <f t="shared" si="69"/>
        <v>65604.014286873658</v>
      </c>
      <c r="DK21" s="6">
        <f t="shared" si="69"/>
        <v>66916.094572611139</v>
      </c>
      <c r="DL21" s="6">
        <f t="shared" si="69"/>
        <v>68254.416464063368</v>
      </c>
      <c r="DM21" s="6">
        <f t="shared" si="69"/>
        <v>69619.504793344633</v>
      </c>
      <c r="DN21" s="6">
        <f t="shared" si="69"/>
        <v>71011.89488921153</v>
      </c>
      <c r="DO21" s="6">
        <f t="shared" si="69"/>
        <v>72432.13278699576</v>
      </c>
      <c r="DP21" s="6">
        <f t="shared" si="69"/>
        <v>73880.77544273567</v>
      </c>
      <c r="DQ21" s="6">
        <f t="shared" si="69"/>
        <v>75358.39095159038</v>
      </c>
      <c r="DR21" s="6">
        <f t="shared" si="69"/>
        <v>76865.558770622185</v>
      </c>
      <c r="DS21" s="6">
        <f t="shared" si="69"/>
        <v>78402.869946034625</v>
      </c>
      <c r="DT21" s="6">
        <f t="shared" si="69"/>
        <v>79970.927344955315</v>
      </c>
      <c r="DU21" s="6">
        <f t="shared" si="69"/>
        <v>81570.34589185442</v>
      </c>
      <c r="DV21" s="6">
        <f t="shared" si="69"/>
        <v>83201.752809691505</v>
      </c>
      <c r="DW21" s="6">
        <f t="shared" si="69"/>
        <v>84865.78786588533</v>
      </c>
      <c r="DX21" s="6">
        <f t="shared" si="69"/>
        <v>86563.103623203031</v>
      </c>
      <c r="DY21" s="6">
        <f t="shared" si="69"/>
        <v>88294.365695667089</v>
      </c>
      <c r="DZ21" s="6">
        <f t="shared" si="69"/>
        <v>90060.25300958044</v>
      </c>
      <c r="EA21" s="6">
        <f t="shared" si="69"/>
        <v>91861.458069772052</v>
      </c>
    </row>
    <row r="22" spans="1:131" x14ac:dyDescent="0.45">
      <c r="A22" s="18"/>
      <c r="B22" s="18" t="s">
        <v>28</v>
      </c>
      <c r="C22" s="19"/>
      <c r="D22" s="20">
        <f t="shared" ref="D22:E22" si="70">D21/D23</f>
        <v>9.7908496732026151</v>
      </c>
      <c r="E22" s="20">
        <f t="shared" si="70"/>
        <v>10.117647058823529</v>
      </c>
      <c r="F22" s="20">
        <f t="shared" ref="F22:G22" si="71">F21/F23</f>
        <v>15.411764705882353</v>
      </c>
      <c r="G22" s="20">
        <f t="shared" si="71"/>
        <v>22.679738562091504</v>
      </c>
      <c r="H22" s="20">
        <f>H21/H23</f>
        <v>13.137254901960784</v>
      </c>
      <c r="I22" s="20">
        <f>I21/I23</f>
        <v>12.666666666666666</v>
      </c>
      <c r="J22" s="20">
        <f t="shared" ref="J22:M22" si="72">J21/J23</f>
        <v>17.777777777777779</v>
      </c>
      <c r="K22" s="20">
        <f t="shared" si="72"/>
        <v>14.117647058823529</v>
      </c>
      <c r="L22" s="20">
        <f t="shared" si="72"/>
        <v>1.3333333333333333</v>
      </c>
      <c r="M22" s="20">
        <f t="shared" si="72"/>
        <v>-3.8300653594771243</v>
      </c>
      <c r="N22" s="20">
        <f>N21/N23</f>
        <v>-14.065359477124183</v>
      </c>
      <c r="O22" s="20">
        <f>O21/O23</f>
        <v>-1.0666666666666667</v>
      </c>
      <c r="P22" s="20">
        <f t="shared" ref="P22:S22" si="73">P21/P23</f>
        <v>-19.347970806100218</v>
      </c>
      <c r="Q22" s="20">
        <f t="shared" si="73"/>
        <v>-13.183257080610025</v>
      </c>
      <c r="R22" s="20">
        <f t="shared" si="73"/>
        <v>-6.5597941176470664</v>
      </c>
      <c r="S22" s="20">
        <f t="shared" si="73"/>
        <v>5.9005599128540362</v>
      </c>
      <c r="T22" s="20"/>
      <c r="U22" s="15"/>
      <c r="V22" s="15"/>
      <c r="W22" s="15"/>
      <c r="X22" s="15"/>
      <c r="Y22" s="20">
        <f t="shared" ref="Y22:AB22" si="74">Y21/Y23</f>
        <v>18.672968647130418</v>
      </c>
      <c r="Z22" s="20">
        <f t="shared" si="74"/>
        <v>34.023355315568629</v>
      </c>
      <c r="AA22" s="20">
        <f t="shared" si="74"/>
        <v>39.93719527821635</v>
      </c>
      <c r="AB22" s="20">
        <f t="shared" si="74"/>
        <v>29.818015449752235</v>
      </c>
      <c r="AC22" s="20">
        <f>AC21/AC23</f>
        <v>28.506761265834747</v>
      </c>
      <c r="AD22" s="20">
        <f t="shared" ref="AD22" si="75">AD21/AD23</f>
        <v>45.743351688750828</v>
      </c>
      <c r="AE22" s="20">
        <f>AE21/AE23</f>
        <v>58.072461070954915</v>
      </c>
      <c r="AF22" s="20">
        <f>AF21/AF23</f>
        <v>58.805689669231597</v>
      </c>
      <c r="AG22" s="20">
        <f t="shared" ref="AG22:AS22" si="76">AG21/AG23</f>
        <v>-36.955813943355118</v>
      </c>
      <c r="AH22" s="20">
        <f t="shared" si="76"/>
        <v>-13.842491285403055</v>
      </c>
      <c r="AI22" s="20">
        <f t="shared" si="76"/>
        <v>89.797203358660099</v>
      </c>
      <c r="AJ22" s="20">
        <f t="shared" si="76"/>
        <v>95.109331620839072</v>
      </c>
      <c r="AK22" s="20">
        <f t="shared" si="76"/>
        <v>101.7759932480192</v>
      </c>
      <c r="AL22" s="20">
        <f t="shared" si="76"/>
        <v>110.00849147720579</v>
      </c>
      <c r="AM22" s="20">
        <f t="shared" si="76"/>
        <v>120.20096464485511</v>
      </c>
      <c r="AN22" s="20">
        <f t="shared" si="76"/>
        <v>131.76220849284229</v>
      </c>
      <c r="AO22" s="20">
        <f t="shared" si="76"/>
        <v>144.85379873917066</v>
      </c>
      <c r="AP22" s="20">
        <f t="shared" si="76"/>
        <v>159.74337432590306</v>
      </c>
      <c r="AQ22" s="20">
        <f t="shared" si="76"/>
        <v>176.74963711790556</v>
      </c>
      <c r="AR22" s="20">
        <f t="shared" si="76"/>
        <v>196.25233370748981</v>
      </c>
      <c r="AS22" s="20">
        <f t="shared" si="76"/>
        <v>218.7042022527886</v>
      </c>
      <c r="AT22" s="15"/>
    </row>
    <row r="23" spans="1:131" x14ac:dyDescent="0.45">
      <c r="A23" s="18"/>
      <c r="B23" s="18" t="s">
        <v>7</v>
      </c>
      <c r="C23" s="19"/>
      <c r="D23" s="19">
        <f>153/2</f>
        <v>76.5</v>
      </c>
      <c r="E23" s="19">
        <v>76.5</v>
      </c>
      <c r="F23" s="19">
        <f>E23</f>
        <v>76.5</v>
      </c>
      <c r="G23" s="19">
        <f t="shared" ref="G23:S23" si="77">F23</f>
        <v>76.5</v>
      </c>
      <c r="H23" s="19">
        <f t="shared" si="77"/>
        <v>76.5</v>
      </c>
      <c r="I23" s="19">
        <f t="shared" si="77"/>
        <v>76.5</v>
      </c>
      <c r="J23" s="19">
        <f t="shared" si="77"/>
        <v>76.5</v>
      </c>
      <c r="K23" s="19">
        <f t="shared" si="77"/>
        <v>76.5</v>
      </c>
      <c r="L23" s="19">
        <f t="shared" si="77"/>
        <v>76.5</v>
      </c>
      <c r="M23" s="19">
        <f t="shared" si="77"/>
        <v>76.5</v>
      </c>
      <c r="N23" s="19">
        <f t="shared" si="77"/>
        <v>76.5</v>
      </c>
      <c r="O23" s="19">
        <f>150/2</f>
        <v>75</v>
      </c>
      <c r="P23" s="19">
        <f>N23</f>
        <v>76.5</v>
      </c>
      <c r="Q23" s="19">
        <f t="shared" si="77"/>
        <v>76.5</v>
      </c>
      <c r="R23" s="19">
        <f t="shared" si="77"/>
        <v>76.5</v>
      </c>
      <c r="S23" s="19">
        <f t="shared" si="77"/>
        <v>76.5</v>
      </c>
      <c r="T23" s="19"/>
      <c r="U23" s="15"/>
      <c r="V23" s="15"/>
      <c r="W23" s="15"/>
      <c r="X23" s="15"/>
      <c r="Y23" s="19">
        <f>509827879/(1000*10000)</f>
        <v>50.982787899999998</v>
      </c>
      <c r="Z23" s="19">
        <f>509355995/(1000*10000)</f>
        <v>50.935599500000002</v>
      </c>
      <c r="AA23" s="19">
        <f>508298088/(1000*10000)</f>
        <v>50.829808800000002</v>
      </c>
      <c r="AB23" s="19">
        <f>509423574/(1000*10000)</f>
        <v>50.942357399999999</v>
      </c>
      <c r="AC23" s="19">
        <f>764029270/(1000*10000)</f>
        <v>76.402927000000005</v>
      </c>
      <c r="AD23" s="19">
        <f>764045456/(1000*10000)</f>
        <v>76.404545600000006</v>
      </c>
      <c r="AE23" s="19">
        <f>764045456/(1000*10000)</f>
        <v>76.404545600000006</v>
      </c>
      <c r="AF23" s="19">
        <f>750607641/(1000*10000)</f>
        <v>75.0607641</v>
      </c>
      <c r="AG23" s="19">
        <f>N23</f>
        <v>76.5</v>
      </c>
      <c r="AH23" s="19">
        <f>AG23</f>
        <v>76.5</v>
      </c>
      <c r="AI23" s="19">
        <f t="shared" ref="AI23:AS23" si="78">AH23</f>
        <v>76.5</v>
      </c>
      <c r="AJ23" s="19">
        <f t="shared" si="78"/>
        <v>76.5</v>
      </c>
      <c r="AK23" s="19">
        <f t="shared" si="78"/>
        <v>76.5</v>
      </c>
      <c r="AL23" s="19">
        <f t="shared" si="78"/>
        <v>76.5</v>
      </c>
      <c r="AM23" s="19">
        <f t="shared" si="78"/>
        <v>76.5</v>
      </c>
      <c r="AN23" s="19">
        <f t="shared" si="78"/>
        <v>76.5</v>
      </c>
      <c r="AO23" s="19">
        <f t="shared" si="78"/>
        <v>76.5</v>
      </c>
      <c r="AP23" s="19">
        <f t="shared" si="78"/>
        <v>76.5</v>
      </c>
      <c r="AQ23" s="19">
        <f t="shared" si="78"/>
        <v>76.5</v>
      </c>
      <c r="AR23" s="19">
        <f t="shared" si="78"/>
        <v>76.5</v>
      </c>
      <c r="AS23" s="19">
        <f t="shared" si="78"/>
        <v>76.5</v>
      </c>
      <c r="AT23" s="15"/>
    </row>
    <row r="25" spans="1:131" x14ac:dyDescent="0.45">
      <c r="B25" t="s">
        <v>39</v>
      </c>
      <c r="H25" s="8">
        <f t="shared" ref="H25:I25" si="79">H7/D7-1</f>
        <v>0.27221768071937413</v>
      </c>
      <c r="I25" s="8">
        <f t="shared" si="79"/>
        <v>0.18569813453928763</v>
      </c>
      <c r="J25" s="8">
        <f t="shared" ref="J25:O25" si="80">J7/F7-1</f>
        <v>0.2135128002111375</v>
      </c>
      <c r="K25" s="8">
        <f t="shared" si="80"/>
        <v>5.0259748388308267E-2</v>
      </c>
      <c r="L25" s="8">
        <f t="shared" si="80"/>
        <v>-0.16798237561960716</v>
      </c>
      <c r="M25" s="8">
        <f t="shared" si="80"/>
        <v>-0.18355184743742547</v>
      </c>
      <c r="N25" s="8">
        <f t="shared" si="80"/>
        <v>-0.272292301000435</v>
      </c>
      <c r="O25" s="8">
        <f t="shared" si="80"/>
        <v>-0.1535160905840286</v>
      </c>
      <c r="P25" s="8">
        <f>P7/K7-1</f>
        <v>-0.44663071116408426</v>
      </c>
      <c r="Q25" s="8">
        <f>Q7/L7-1</f>
        <v>0.15924720506031176</v>
      </c>
      <c r="R25" s="8">
        <f>R7/M7-1</f>
        <v>-1.0222222222222133E-2</v>
      </c>
      <c r="S25" s="8">
        <f>S7/N7-1</f>
        <v>0.44330112240154085</v>
      </c>
      <c r="T25"/>
      <c r="Y25" s="8"/>
      <c r="Z25" s="8">
        <f>Z7/Y7-1</f>
        <v>0.16807639836289212</v>
      </c>
      <c r="AA25" s="8">
        <f t="shared" ref="AA25:AF25" si="81">AA7/Z7-1</f>
        <v>4.6484466246204059E-2</v>
      </c>
      <c r="AB25" s="8">
        <f t="shared" si="81"/>
        <v>0.23197544642857149</v>
      </c>
      <c r="AC25" s="8">
        <f t="shared" si="81"/>
        <v>0.62431489785749883</v>
      </c>
      <c r="AD25" s="8">
        <f t="shared" si="81"/>
        <v>8.6224205242610097E-2</v>
      </c>
      <c r="AE25" s="8">
        <f t="shared" si="81"/>
        <v>0.19431608133086886</v>
      </c>
      <c r="AF25" s="8">
        <f t="shared" si="81"/>
        <v>0.16190537606672262</v>
      </c>
      <c r="AG25" s="8">
        <f t="shared" ref="AG25" si="82">AG7/AF7-1</f>
        <v>-0.19373577784766804</v>
      </c>
      <c r="AH25" s="8">
        <f t="shared" ref="AH25" si="83">AH7/AG7-1</f>
        <v>1.9957703280481631E-2</v>
      </c>
      <c r="AI25" s="8">
        <f t="shared" ref="AI25" si="84">AI7/AH7-1</f>
        <v>4.0984914549299312E-2</v>
      </c>
      <c r="AJ25" s="8">
        <f t="shared" ref="AJ25" si="85">AJ7/AI7-1</f>
        <v>5.1448118629595863E-2</v>
      </c>
      <c r="AK25" s="8">
        <f t="shared" ref="AK25" si="86">AK7/AJ7-1</f>
        <v>6.2138807639463112E-2</v>
      </c>
      <c r="AL25" s="8">
        <f t="shared" ref="AL25" si="87">AL7/AK7-1</f>
        <v>7.2878716085662321E-2</v>
      </c>
      <c r="AM25" s="8">
        <f t="shared" ref="AM25" si="88">AM7/AL7-1</f>
        <v>8.4699571957461695E-2</v>
      </c>
      <c r="AN25" s="8">
        <f t="shared" ref="AN25" si="89">AN7/AM7-1</f>
        <v>8.8883645219481222E-2</v>
      </c>
      <c r="AO25" s="8">
        <f t="shared" ref="AO25" si="90">AO7/AN7-1</f>
        <v>9.2715305126571668E-2</v>
      </c>
      <c r="AP25" s="8">
        <f t="shared" ref="AP25" si="91">AP7/AO7-1</f>
        <v>9.6769372133027165E-2</v>
      </c>
      <c r="AQ25" s="8">
        <f t="shared" ref="AQ25" si="92">AQ7/AP7-1</f>
        <v>0.10102691288020349</v>
      </c>
      <c r="AR25" s="8">
        <f t="shared" ref="AR25" si="93">AR7/AQ7-1</f>
        <v>0.10546350130926996</v>
      </c>
      <c r="AS25" s="8">
        <f t="shared" ref="AS25" si="94">AS7/AR7-1</f>
        <v>0.11004953608694801</v>
      </c>
    </row>
    <row r="26" spans="1:131" x14ac:dyDescent="0.45">
      <c r="B26" t="s">
        <v>40</v>
      </c>
      <c r="D26" s="11">
        <f>D9/D7</f>
        <v>0.56755809879715058</v>
      </c>
      <c r="E26" s="11">
        <f>E9/E7</f>
        <v>0.50810250612398722</v>
      </c>
      <c r="F26" s="8">
        <f t="shared" ref="F26:N26" si="95">F9/F7</f>
        <v>0.54658221166534704</v>
      </c>
      <c r="G26" s="8">
        <f t="shared" si="95"/>
        <v>0.49965575514802529</v>
      </c>
      <c r="H26" s="8">
        <f t="shared" si="95"/>
        <v>0.54846704608041119</v>
      </c>
      <c r="I26" s="8">
        <f t="shared" si="95"/>
        <v>0.54064362336114424</v>
      </c>
      <c r="J26" s="8">
        <f t="shared" si="95"/>
        <v>0.51993620414673047</v>
      </c>
      <c r="K26" s="8">
        <f t="shared" si="95"/>
        <v>0.41471990464839092</v>
      </c>
      <c r="L26" s="8">
        <f t="shared" si="95"/>
        <v>0.5664165931156222</v>
      </c>
      <c r="M26" s="8">
        <f t="shared" si="95"/>
        <v>0.49080291970802919</v>
      </c>
      <c r="N26" s="8">
        <f t="shared" si="95"/>
        <v>0.37009364415222157</v>
      </c>
      <c r="O26" s="8">
        <f t="shared" ref="O26" si="96">O9/O7</f>
        <v>0.36574204449450859</v>
      </c>
      <c r="P26" s="13">
        <v>0.35</v>
      </c>
      <c r="Q26" s="8">
        <f>P26+($S$26-$P$26)/(3)</f>
        <v>0.39999999999999997</v>
      </c>
      <c r="R26" s="8">
        <f>Q26+($S$26-$P$26)/(4)</f>
        <v>0.4375</v>
      </c>
      <c r="S26" s="13">
        <v>0.5</v>
      </c>
      <c r="T26"/>
      <c r="Y26" s="8">
        <f t="shared" ref="Y26:AB26" si="97">Y9/Y7</f>
        <v>0.51732605729877212</v>
      </c>
      <c r="Z26" s="8">
        <f t="shared" si="97"/>
        <v>0.52207428170988091</v>
      </c>
      <c r="AA26" s="8">
        <f t="shared" si="97"/>
        <v>0.5401785714285714</v>
      </c>
      <c r="AB26" s="8">
        <f t="shared" si="97"/>
        <v>0.50609231326720117</v>
      </c>
      <c r="AC26" s="8">
        <f>AC9/AC7</f>
        <v>0.47732849972113778</v>
      </c>
      <c r="AD26" s="8">
        <f>AD9/AD7</f>
        <v>0.50975559663175185</v>
      </c>
      <c r="AE26" s="8">
        <f>AE9/AE7</f>
        <v>0.52554760215816509</v>
      </c>
      <c r="AF26" s="8">
        <f>AF9/AF7</f>
        <v>0.49529165818733467</v>
      </c>
      <c r="AG26" s="8">
        <f t="shared" ref="AG26:AH26" si="98">AG9/AG7</f>
        <v>0.43796608613845484</v>
      </c>
      <c r="AH26" s="8">
        <f t="shared" si="98"/>
        <v>0.35761479570698163</v>
      </c>
      <c r="AI26" s="21">
        <v>0.5</v>
      </c>
    </row>
    <row r="27" spans="1:131" x14ac:dyDescent="0.45">
      <c r="B27" t="s">
        <v>111</v>
      </c>
      <c r="D27" s="8">
        <f>D13/D7</f>
        <v>6.4346607497372421E-2</v>
      </c>
      <c r="E27" s="8">
        <f t="shared" ref="E27:N27" si="99">E13/E7</f>
        <v>5.3325796118334275E-2</v>
      </c>
      <c r="F27" s="8">
        <f t="shared" si="99"/>
        <v>5.2784375824755869E-2</v>
      </c>
      <c r="G27" s="8">
        <f t="shared" si="99"/>
        <v>4.0182762721412031E-2</v>
      </c>
      <c r="H27" s="8">
        <f t="shared" si="99"/>
        <v>5.3974664953185238E-2</v>
      </c>
      <c r="I27" s="8">
        <f t="shared" si="99"/>
        <v>4.8311481922924115E-2</v>
      </c>
      <c r="J27" s="8">
        <f t="shared" si="99"/>
        <v>4.5237059591126574E-2</v>
      </c>
      <c r="K27" s="8">
        <f t="shared" si="99"/>
        <v>4.3325387365911801E-2</v>
      </c>
      <c r="L27" s="8">
        <f t="shared" si="99"/>
        <v>7.0167696381288613E-2</v>
      </c>
      <c r="M27" s="8">
        <f t="shared" si="99"/>
        <v>6.3941605839416063E-2</v>
      </c>
      <c r="N27" s="8">
        <f t="shared" si="99"/>
        <v>6.7344092448694964E-2</v>
      </c>
      <c r="O27" s="8">
        <f t="shared" ref="O27" si="100">O13/O7</f>
        <v>5.5899746550267533E-2</v>
      </c>
      <c r="P27" s="13">
        <v>7.0000000000000007E-2</v>
      </c>
      <c r="T27"/>
      <c r="Y27" s="8">
        <f>Y13/Y7</f>
        <v>4.61118690313779E-2</v>
      </c>
      <c r="Z27" s="8">
        <f t="shared" ref="Z27:AE27" si="101">Z13/Z7</f>
        <v>3.9243167484232656E-2</v>
      </c>
      <c r="AA27" s="8">
        <f t="shared" si="101"/>
        <v>3.7667410714285712E-2</v>
      </c>
      <c r="AB27" s="8">
        <f t="shared" si="101"/>
        <v>4.389183312950129E-2</v>
      </c>
      <c r="AC27" s="8">
        <f t="shared" si="101"/>
        <v>5.6107083100948134E-2</v>
      </c>
      <c r="AD27" s="8">
        <f t="shared" si="101"/>
        <v>5.5786609159991785E-2</v>
      </c>
      <c r="AE27" s="8">
        <f t="shared" si="101"/>
        <v>5.0708282281120357E-2</v>
      </c>
      <c r="AF27" s="8">
        <f>AF13/AF7</f>
        <v>4.712041884816754E-2</v>
      </c>
      <c r="AG27" s="8">
        <f t="shared" ref="AG27:AH27" si="102">AG13/AG7</f>
        <v>6.3399187719419006E-2</v>
      </c>
      <c r="AH27" s="8">
        <f t="shared" si="102"/>
        <v>5.5377363110190869E-2</v>
      </c>
      <c r="AI27" s="21">
        <v>7.0000000000000007E-2</v>
      </c>
      <c r="AX27" s="3" t="s">
        <v>118</v>
      </c>
      <c r="AY27" s="21">
        <v>0.02</v>
      </c>
    </row>
    <row r="28" spans="1:131" x14ac:dyDescent="0.45">
      <c r="B28" t="s">
        <v>112</v>
      </c>
      <c r="D28" s="8">
        <f>D15/D7</f>
        <v>0.22842461754058158</v>
      </c>
      <c r="E28" s="8">
        <f t="shared" ref="E28:N28" si="103">E15/E7</f>
        <v>0.2038816657245148</v>
      </c>
      <c r="F28" s="8">
        <f t="shared" si="103"/>
        <v>0.20559514383742411</v>
      </c>
      <c r="G28" s="8">
        <f t="shared" si="103"/>
        <v>0.18395193090066972</v>
      </c>
      <c r="H28" s="8">
        <f t="shared" si="103"/>
        <v>0.20947310446117129</v>
      </c>
      <c r="I28" s="8">
        <f t="shared" si="103"/>
        <v>0.21255462852602305</v>
      </c>
      <c r="J28" s="8">
        <f t="shared" si="103"/>
        <v>0.19530230535015225</v>
      </c>
      <c r="K28" s="8">
        <f t="shared" si="103"/>
        <v>0.14558998808104887</v>
      </c>
      <c r="L28" s="8">
        <f t="shared" si="103"/>
        <v>0.23587819947043248</v>
      </c>
      <c r="M28" s="8">
        <f t="shared" si="103"/>
        <v>0.2018491484184915</v>
      </c>
      <c r="N28" s="8">
        <f t="shared" si="103"/>
        <v>0.19715082685793983</v>
      </c>
      <c r="O28" s="8">
        <f t="shared" ref="O28" si="104">O15/O7</f>
        <v>0.14960574486060266</v>
      </c>
      <c r="P28" s="13">
        <v>0.2</v>
      </c>
      <c r="T28"/>
      <c r="Y28" s="8">
        <f>Y15/Y7</f>
        <v>0.23458390177353342</v>
      </c>
      <c r="Z28" s="8">
        <f t="shared" ref="Z28:AF28" si="105">Z15/Z7</f>
        <v>0.22681616444755898</v>
      </c>
      <c r="AA28" s="8">
        <f t="shared" si="105"/>
        <v>0.22589285714285715</v>
      </c>
      <c r="AB28" s="8">
        <f t="shared" si="105"/>
        <v>0.22761244734338903</v>
      </c>
      <c r="AC28" s="8">
        <f t="shared" si="105"/>
        <v>0.1804238706079197</v>
      </c>
      <c r="AD28" s="8">
        <f t="shared" si="105"/>
        <v>0.18604949681659477</v>
      </c>
      <c r="AE28" s="8">
        <f t="shared" si="105"/>
        <v>0.20197330237957051</v>
      </c>
      <c r="AF28" s="8">
        <f t="shared" si="105"/>
        <v>0.18418959169703808</v>
      </c>
      <c r="AG28" s="8">
        <f t="shared" ref="AG28:AH28" si="106">AG15/AG7</f>
        <v>0.19081709919460316</v>
      </c>
      <c r="AH28" s="8">
        <f t="shared" si="106"/>
        <v>0.1582210374576882</v>
      </c>
      <c r="AI28" s="21">
        <v>0.2</v>
      </c>
      <c r="AX28" s="3" t="s">
        <v>119</v>
      </c>
      <c r="AY28" s="21">
        <v>0.1525</v>
      </c>
    </row>
    <row r="29" spans="1:131" x14ac:dyDescent="0.45">
      <c r="B29" t="s">
        <v>113</v>
      </c>
      <c r="D29" s="8">
        <f>D10/D7</f>
        <v>0.12028494686441668</v>
      </c>
      <c r="E29" s="8">
        <f t="shared" ref="E29:N29" si="107">E10/E7</f>
        <v>0.10165818729979273</v>
      </c>
      <c r="F29" s="8">
        <f t="shared" si="107"/>
        <v>0.10257763701944224</v>
      </c>
      <c r="G29" s="8">
        <f t="shared" si="107"/>
        <v>8.4308693747261687E-2</v>
      </c>
      <c r="H29" s="8">
        <f t="shared" si="107"/>
        <v>0.11419129796218101</v>
      </c>
      <c r="I29" s="8">
        <f t="shared" si="107"/>
        <v>9.7973778307508932E-2</v>
      </c>
      <c r="J29" s="8">
        <f t="shared" si="107"/>
        <v>9.5766275192112518E-2</v>
      </c>
      <c r="K29" s="8">
        <f t="shared" si="107"/>
        <v>7.4970202622169246E-2</v>
      </c>
      <c r="L29" s="8">
        <f t="shared" si="107"/>
        <v>0.13680494263018536</v>
      </c>
      <c r="M29" s="8">
        <f t="shared" si="107"/>
        <v>0.12175182481751824</v>
      </c>
      <c r="N29" s="8">
        <f t="shared" si="107"/>
        <v>0.11506276150627615</v>
      </c>
      <c r="O29" s="8">
        <f t="shared" ref="O29" si="108">O10/O7</f>
        <v>7.2937200788510279E-2</v>
      </c>
      <c r="P29" s="13">
        <v>0.12</v>
      </c>
      <c r="T29"/>
      <c r="Y29" s="8">
        <f>Y10/Y7</f>
        <v>9.7817189631650744E-2</v>
      </c>
      <c r="Z29" s="12">
        <f>Z10/Z7</f>
        <v>9.5012847465545433E-2</v>
      </c>
      <c r="AA29" s="8">
        <f t="shared" ref="AA29:AF29" si="109">AA10/AA7</f>
        <v>9.5591517857142858E-2</v>
      </c>
      <c r="AB29" s="8">
        <f t="shared" si="109"/>
        <v>9.4895139738189069E-2</v>
      </c>
      <c r="AC29" s="8">
        <f t="shared" si="109"/>
        <v>9.4562186279977686E-2</v>
      </c>
      <c r="AD29" s="8">
        <f t="shared" si="109"/>
        <v>9.5296775518586979E-2</v>
      </c>
      <c r="AE29" s="8">
        <f t="shared" si="109"/>
        <v>9.9352980374454544E-2</v>
      </c>
      <c r="AF29" s="8">
        <f t="shared" si="109"/>
        <v>9.3537823987567756E-2</v>
      </c>
      <c r="AG29" s="8">
        <f t="shared" ref="AG29:AH29" si="110">AG10/AG7</f>
        <v>0.10743213785824098</v>
      </c>
      <c r="AH29" s="8">
        <f t="shared" si="110"/>
        <v>9.4932622474612927E-2</v>
      </c>
      <c r="AI29" s="21">
        <v>0.1</v>
      </c>
      <c r="AX29" s="3" t="s">
        <v>117</v>
      </c>
      <c r="AY29" s="21">
        <v>0.01</v>
      </c>
    </row>
    <row r="30" spans="1:131" x14ac:dyDescent="0.45">
      <c r="B30" t="s">
        <v>114</v>
      </c>
      <c r="D30" s="8">
        <f>D11/D7</f>
        <v>7.0886371598738757E-2</v>
      </c>
      <c r="E30" s="8">
        <f t="shared" ref="E30:N30" si="111">E11/E7</f>
        <v>3.3823252308272093E-2</v>
      </c>
      <c r="F30" s="8">
        <f t="shared" si="111"/>
        <v>4.6538224685493096E-2</v>
      </c>
      <c r="G30" s="8">
        <f t="shared" si="111"/>
        <v>5.0071978469049261E-2</v>
      </c>
      <c r="H30" s="8">
        <f t="shared" si="111"/>
        <v>4.7640903249495138E-2</v>
      </c>
      <c r="I30" s="8">
        <f t="shared" si="111"/>
        <v>5.1172030194676199E-2</v>
      </c>
      <c r="J30" s="8">
        <f t="shared" si="111"/>
        <v>6.481078729882557E-2</v>
      </c>
      <c r="K30" s="8">
        <f t="shared" si="111"/>
        <v>5.3992848629320619E-2</v>
      </c>
      <c r="L30" s="8">
        <f t="shared" si="111"/>
        <v>7.7228596646072373E-2</v>
      </c>
      <c r="M30" s="8">
        <f t="shared" si="111"/>
        <v>8.476885644768857E-2</v>
      </c>
      <c r="N30" s="8">
        <f t="shared" si="111"/>
        <v>0.11864913329348475</v>
      </c>
      <c r="O30" s="8">
        <f t="shared" ref="O30" si="112">O11/O7</f>
        <v>7.6738946775556177E-2</v>
      </c>
      <c r="P30" s="13">
        <v>0.09</v>
      </c>
      <c r="Q30" s="8">
        <f>P30+($S$30-$P$30)/(3)</f>
        <v>0.08</v>
      </c>
      <c r="R30" s="8">
        <f>Q30+($S$30-$P$30)/(3)</f>
        <v>7.0000000000000007E-2</v>
      </c>
      <c r="S30" s="13">
        <v>0.06</v>
      </c>
      <c r="T30"/>
      <c r="Y30" s="8">
        <f>Y11/Y7</f>
        <v>4.8021828103683495E-2</v>
      </c>
      <c r="Z30" s="8">
        <f t="shared" ref="Z30:AF30" si="113">Z11/Z7</f>
        <v>4.2922214435879465E-2</v>
      </c>
      <c r="AA30" s="8">
        <f t="shared" si="113"/>
        <v>4.3694196428571426E-2</v>
      </c>
      <c r="AB30" s="8">
        <f t="shared" si="113"/>
        <v>4.3620057072971868E-2</v>
      </c>
      <c r="AC30" s="8">
        <f t="shared" si="113"/>
        <v>4.1299498047964303E-2</v>
      </c>
      <c r="AD30" s="8">
        <f t="shared" si="113"/>
        <v>5.2885602793181351E-2</v>
      </c>
      <c r="AE30" s="8">
        <f t="shared" si="113"/>
        <v>4.9332559489262913E-2</v>
      </c>
      <c r="AF30" s="8">
        <f t="shared" si="113"/>
        <v>5.4816568923094E-2</v>
      </c>
      <c r="AG30" s="8">
        <f t="shared" ref="AG30:AH30" si="114">AG11/AG7</f>
        <v>8.8387141185378951E-2</v>
      </c>
      <c r="AH30" s="8">
        <f t="shared" si="114"/>
        <v>5.4481891692481112E-2</v>
      </c>
      <c r="AI30" s="21">
        <v>0.05</v>
      </c>
      <c r="AX30" s="3" t="s">
        <v>120</v>
      </c>
      <c r="AY30" s="3">
        <f>NPV(AY28,AH21:EA21)+Main!H7-Main!H6</f>
        <v>41383.784891341085</v>
      </c>
    </row>
    <row r="31" spans="1:131" x14ac:dyDescent="0.45">
      <c r="B31" t="s">
        <v>116</v>
      </c>
      <c r="D31" s="8"/>
      <c r="E31" s="8">
        <f>E20/E19</f>
        <v>0.24340175953079179</v>
      </c>
      <c r="F31" s="8">
        <f t="shared" ref="F31:K31" si="115">F20/F19</f>
        <v>0.12407132243684993</v>
      </c>
      <c r="G31" s="8">
        <f t="shared" si="115"/>
        <v>0.13250000000000001</v>
      </c>
      <c r="H31" s="8">
        <f t="shared" si="115"/>
        <v>5.5451127819548869E-2</v>
      </c>
      <c r="I31" s="8">
        <f t="shared" si="115"/>
        <v>0.1925</v>
      </c>
      <c r="J31" s="8">
        <f t="shared" si="115"/>
        <v>9.0301003344481601E-2</v>
      </c>
      <c r="K31" s="8">
        <f t="shared" si="115"/>
        <v>0.22358015815959742</v>
      </c>
      <c r="L31" s="8"/>
      <c r="M31" s="8"/>
      <c r="N31" s="8"/>
      <c r="O31" s="8"/>
      <c r="P31" s="13">
        <f>AVERAGE(E31:K31)</f>
        <v>0.15168648161303855</v>
      </c>
      <c r="Q31" s="8"/>
      <c r="R31" s="8"/>
      <c r="S31" s="8"/>
      <c r="T31"/>
      <c r="Y31" s="8">
        <f>Y20/Y19</f>
        <v>0.14771709937332139</v>
      </c>
      <c r="Z31" s="8">
        <f t="shared" ref="Z31:AF31" si="116">Z20/Z19</f>
        <v>9.8335067637877208E-2</v>
      </c>
      <c r="AA31" s="8">
        <f t="shared" si="116"/>
        <v>0.1193058568329718</v>
      </c>
      <c r="AB31" s="8">
        <f t="shared" si="116"/>
        <v>9.7980997624703081E-2</v>
      </c>
      <c r="AC31" s="8">
        <f t="shared" si="116"/>
        <v>0.21201157742402316</v>
      </c>
      <c r="AD31" s="8">
        <f t="shared" si="116"/>
        <v>0.16407558000478353</v>
      </c>
      <c r="AE31" s="8">
        <f t="shared" si="116"/>
        <v>0.10652436568666936</v>
      </c>
      <c r="AF31" s="8">
        <f t="shared" si="116"/>
        <v>0.14291262135922331</v>
      </c>
      <c r="AG31" s="8"/>
      <c r="AH31" s="8"/>
      <c r="AI31" s="21">
        <v>0.25</v>
      </c>
      <c r="AJ31" s="8">
        <f>AI31+(($AS$31-$AI$31)/($AS$1-$AI$1))</f>
        <v>0.25</v>
      </c>
      <c r="AK31" s="8">
        <f t="shared" ref="AK31:AR31" si="117">AJ31+(($AS$31-$AI$31)/($AS$1-$AI$1))</f>
        <v>0.25</v>
      </c>
      <c r="AL31" s="8">
        <f t="shared" si="117"/>
        <v>0.25</v>
      </c>
      <c r="AM31" s="8">
        <f t="shared" si="117"/>
        <v>0.25</v>
      </c>
      <c r="AN31" s="8">
        <f t="shared" si="117"/>
        <v>0.25</v>
      </c>
      <c r="AO31" s="8">
        <f t="shared" si="117"/>
        <v>0.25</v>
      </c>
      <c r="AP31" s="8">
        <f t="shared" si="117"/>
        <v>0.25</v>
      </c>
      <c r="AQ31" s="8">
        <f t="shared" si="117"/>
        <v>0.25</v>
      </c>
      <c r="AR31" s="8">
        <f t="shared" si="117"/>
        <v>0.25</v>
      </c>
      <c r="AS31" s="21">
        <v>0.25</v>
      </c>
      <c r="AX31" s="6" t="s">
        <v>2</v>
      </c>
      <c r="AY31" s="22">
        <f>AY30/(Main!H4/10000)</f>
        <v>551.33711183924765</v>
      </c>
    </row>
    <row r="32" spans="1:131" x14ac:dyDescent="0.45">
      <c r="F32" s="8"/>
      <c r="G32" s="8"/>
      <c r="H32" s="8"/>
      <c r="I32" s="8"/>
      <c r="J32" s="8"/>
      <c r="K32" s="8"/>
      <c r="L32" s="8"/>
      <c r="M32" s="8"/>
      <c r="N32" s="8"/>
      <c r="O32" s="8"/>
      <c r="T32"/>
      <c r="Y32" s="8"/>
      <c r="Z32" s="8"/>
      <c r="AA32" s="8"/>
      <c r="AB32" s="8"/>
      <c r="AC32" s="8"/>
      <c r="AD32" s="8"/>
      <c r="AE32" s="8"/>
      <c r="AF32" s="8"/>
      <c r="AX32" s="3" t="s">
        <v>121</v>
      </c>
      <c r="AY32" s="8">
        <f>AY31/Main!H3-1</f>
        <v>-6.5776356851987572E-4</v>
      </c>
    </row>
    <row r="33" spans="2:45" x14ac:dyDescent="0.45">
      <c r="B33" t="s">
        <v>101</v>
      </c>
      <c r="O33" s="3">
        <f>O51-O58-O64</f>
        <v>-22402</v>
      </c>
      <c r="P33" s="3">
        <f>O33+P21</f>
        <v>-23882.119766666667</v>
      </c>
      <c r="Q33" s="3">
        <f t="shared" ref="Q33:S33" si="118">P33+Q21</f>
        <v>-24890.638933333335</v>
      </c>
      <c r="R33" s="3">
        <f t="shared" si="118"/>
        <v>-25392.463183333337</v>
      </c>
      <c r="S33" s="3">
        <f t="shared" si="118"/>
        <v>-24941.070350000002</v>
      </c>
      <c r="T33"/>
      <c r="AH33" s="3">
        <f>S33</f>
        <v>-24941.070350000002</v>
      </c>
      <c r="AI33" s="3">
        <f t="shared" ref="AI33:AS33" si="119">AH33+AI21</f>
        <v>-18071.584293062504</v>
      </c>
      <c r="AJ33" s="3">
        <f t="shared" si="119"/>
        <v>-10795.720424068315</v>
      </c>
      <c r="AK33" s="3">
        <f t="shared" si="119"/>
        <v>-3009.8569405948456</v>
      </c>
      <c r="AL33" s="3">
        <f t="shared" si="119"/>
        <v>5405.7926574113972</v>
      </c>
      <c r="AM33" s="3">
        <f t="shared" si="119"/>
        <v>14601.166452742813</v>
      </c>
      <c r="AN33" s="3">
        <f t="shared" si="119"/>
        <v>24680.975402445249</v>
      </c>
      <c r="AO33" s="3">
        <f t="shared" si="119"/>
        <v>35762.291005991807</v>
      </c>
      <c r="AP33" s="3">
        <f t="shared" si="119"/>
        <v>47982.659141923388</v>
      </c>
      <c r="AQ33" s="3">
        <f t="shared" si="119"/>
        <v>61504.006381443163</v>
      </c>
      <c r="AR33" s="3">
        <f t="shared" si="119"/>
        <v>76517.309910066135</v>
      </c>
      <c r="AS33" s="3">
        <f t="shared" si="119"/>
        <v>93248.181382404466</v>
      </c>
    </row>
    <row r="34" spans="2:45" x14ac:dyDescent="0.45">
      <c r="B34" s="1" t="s">
        <v>66</v>
      </c>
    </row>
    <row r="35" spans="2:45" x14ac:dyDescent="0.45">
      <c r="B35" t="s">
        <v>67</v>
      </c>
      <c r="O35" s="3">
        <v>8443</v>
      </c>
    </row>
    <row r="36" spans="2:45" x14ac:dyDescent="0.45">
      <c r="B36" t="s">
        <v>68</v>
      </c>
      <c r="O36" s="3">
        <v>1106</v>
      </c>
    </row>
    <row r="37" spans="2:45" x14ac:dyDescent="0.45">
      <c r="B37" t="s">
        <v>69</v>
      </c>
      <c r="O37" s="3">
        <v>20184</v>
      </c>
    </row>
    <row r="38" spans="2:45" x14ac:dyDescent="0.45">
      <c r="B38" t="s">
        <v>70</v>
      </c>
      <c r="O38" s="3">
        <v>1265</v>
      </c>
    </row>
    <row r="39" spans="2:45" x14ac:dyDescent="0.45">
      <c r="B39" t="s">
        <v>71</v>
      </c>
      <c r="O39" s="3">
        <v>9164</v>
      </c>
    </row>
    <row r="40" spans="2:45" x14ac:dyDescent="0.45">
      <c r="B40" t="s">
        <v>72</v>
      </c>
      <c r="O40" s="3">
        <v>1859</v>
      </c>
    </row>
    <row r="41" spans="2:45" x14ac:dyDescent="0.45">
      <c r="B41" t="s">
        <v>73</v>
      </c>
      <c r="O41" s="3">
        <f>1238+655</f>
        <v>1893</v>
      </c>
    </row>
    <row r="42" spans="2:45" x14ac:dyDescent="0.45">
      <c r="B42" t="s">
        <v>74</v>
      </c>
      <c r="O42" s="3">
        <v>23</v>
      </c>
    </row>
    <row r="43" spans="2:45" x14ac:dyDescent="0.45">
      <c r="B43" t="s">
        <v>75</v>
      </c>
      <c r="O43" s="3">
        <v>10</v>
      </c>
    </row>
    <row r="44" spans="2:45" x14ac:dyDescent="0.45">
      <c r="B44" t="s">
        <v>76</v>
      </c>
      <c r="O44" s="3">
        <v>179</v>
      </c>
    </row>
    <row r="45" spans="2:45" x14ac:dyDescent="0.45">
      <c r="B45" t="s">
        <v>77</v>
      </c>
      <c r="O45" s="3">
        <f>208+3595</f>
        <v>3803</v>
      </c>
    </row>
    <row r="46" spans="2:45" x14ac:dyDescent="0.45">
      <c r="B46" t="s">
        <v>78</v>
      </c>
      <c r="O46" s="3">
        <v>289</v>
      </c>
    </row>
    <row r="47" spans="2:45" x14ac:dyDescent="0.45">
      <c r="B47" s="1" t="s">
        <v>79</v>
      </c>
      <c r="N47" s="4"/>
      <c r="O47" s="4">
        <f>SUM(O35:O46)</f>
        <v>48218</v>
      </c>
    </row>
    <row r="48" spans="2:45" x14ac:dyDescent="0.45">
      <c r="B48" t="s">
        <v>80</v>
      </c>
      <c r="O48" s="3">
        <v>12776</v>
      </c>
    </row>
    <row r="49" spans="2:15" x14ac:dyDescent="0.45">
      <c r="B49" t="s">
        <v>81</v>
      </c>
      <c r="O49" s="3">
        <v>261</v>
      </c>
    </row>
    <row r="50" spans="2:15" x14ac:dyDescent="0.45">
      <c r="B50" t="s">
        <v>75</v>
      </c>
      <c r="O50" s="3">
        <v>16354</v>
      </c>
    </row>
    <row r="51" spans="2:15" x14ac:dyDescent="0.45">
      <c r="B51" t="s">
        <v>82</v>
      </c>
      <c r="O51" s="3">
        <f>5943+93</f>
        <v>6036</v>
      </c>
    </row>
    <row r="52" spans="2:15" x14ac:dyDescent="0.45">
      <c r="B52" t="s">
        <v>83</v>
      </c>
      <c r="O52" s="3">
        <v>20</v>
      </c>
    </row>
    <row r="53" spans="2:15" x14ac:dyDescent="0.45">
      <c r="B53" t="s">
        <v>21</v>
      </c>
      <c r="O53" s="3">
        <v>692</v>
      </c>
    </row>
    <row r="54" spans="2:15" x14ac:dyDescent="0.45">
      <c r="B54" t="s">
        <v>84</v>
      </c>
      <c r="O54" s="3">
        <v>398</v>
      </c>
    </row>
    <row r="55" spans="2:15" x14ac:dyDescent="0.45">
      <c r="B55" t="s">
        <v>85</v>
      </c>
      <c r="O55" s="3">
        <v>2762</v>
      </c>
    </row>
    <row r="56" spans="2:15" x14ac:dyDescent="0.45">
      <c r="B56" s="1" t="s">
        <v>86</v>
      </c>
      <c r="N56" s="4"/>
      <c r="O56" s="4">
        <f>SUM(O48:O55)</f>
        <v>39299</v>
      </c>
    </row>
    <row r="57" spans="2:15" x14ac:dyDescent="0.45">
      <c r="B57" s="7" t="s">
        <v>87</v>
      </c>
      <c r="N57" s="6"/>
      <c r="O57" s="6">
        <f>O56+O47+29</f>
        <v>87546</v>
      </c>
    </row>
    <row r="58" spans="2:15" x14ac:dyDescent="0.45">
      <c r="B58" t="s">
        <v>88</v>
      </c>
      <c r="O58" s="3">
        <v>24010</v>
      </c>
    </row>
    <row r="59" spans="2:15" x14ac:dyDescent="0.45">
      <c r="B59" t="s">
        <v>89</v>
      </c>
      <c r="O59" s="3">
        <v>958</v>
      </c>
    </row>
    <row r="60" spans="2:15" x14ac:dyDescent="0.45">
      <c r="B60" t="s">
        <v>90</v>
      </c>
      <c r="O60" s="3">
        <v>219</v>
      </c>
    </row>
    <row r="61" spans="2:15" x14ac:dyDescent="0.45">
      <c r="B61" t="s">
        <v>91</v>
      </c>
      <c r="O61" s="3">
        <v>386</v>
      </c>
    </row>
    <row r="62" spans="2:15" x14ac:dyDescent="0.45">
      <c r="B62" t="s">
        <v>92</v>
      </c>
      <c r="O62" s="3">
        <v>2406</v>
      </c>
    </row>
    <row r="63" spans="2:15" x14ac:dyDescent="0.45">
      <c r="B63" s="1" t="s">
        <v>93</v>
      </c>
      <c r="N63" s="4"/>
      <c r="O63" s="4">
        <f>SUM(O58:O62)</f>
        <v>27979</v>
      </c>
    </row>
    <row r="64" spans="2:15" x14ac:dyDescent="0.45">
      <c r="B64" t="s">
        <v>88</v>
      </c>
      <c r="O64" s="3">
        <v>4428</v>
      </c>
    </row>
    <row r="65" spans="2:15" x14ac:dyDescent="0.45">
      <c r="B65" t="s">
        <v>94</v>
      </c>
      <c r="O65" s="3">
        <v>358</v>
      </c>
    </row>
    <row r="66" spans="2:15" x14ac:dyDescent="0.45">
      <c r="B66" t="s">
        <v>95</v>
      </c>
      <c r="O66" s="3">
        <f>84+15600</f>
        <v>15684</v>
      </c>
    </row>
    <row r="67" spans="2:15" x14ac:dyDescent="0.45">
      <c r="B67" t="s">
        <v>96</v>
      </c>
      <c r="O67" s="3">
        <v>2211</v>
      </c>
    </row>
    <row r="68" spans="2:15" x14ac:dyDescent="0.45">
      <c r="B68" t="s">
        <v>102</v>
      </c>
      <c r="O68" s="3">
        <v>3335</v>
      </c>
    </row>
    <row r="69" spans="2:15" x14ac:dyDescent="0.45">
      <c r="B69" t="s">
        <v>91</v>
      </c>
      <c r="O69" s="3">
        <v>315</v>
      </c>
    </row>
    <row r="70" spans="2:15" x14ac:dyDescent="0.45">
      <c r="B70" t="s">
        <v>92</v>
      </c>
      <c r="O70" s="3">
        <v>530</v>
      </c>
    </row>
    <row r="71" spans="2:15" x14ac:dyDescent="0.45">
      <c r="B71" s="1" t="s">
        <v>97</v>
      </c>
      <c r="N71" s="4"/>
      <c r="O71" s="4">
        <f>SUM(O64:O70)</f>
        <v>26861</v>
      </c>
    </row>
    <row r="72" spans="2:15" x14ac:dyDescent="0.45">
      <c r="B72" s="1" t="s">
        <v>98</v>
      </c>
      <c r="N72" s="4"/>
      <c r="O72" s="4">
        <f>O71+O63</f>
        <v>54840</v>
      </c>
    </row>
    <row r="73" spans="2:15" x14ac:dyDescent="0.45">
      <c r="B73" s="1" t="s">
        <v>99</v>
      </c>
      <c r="N73" s="4"/>
      <c r="O73" s="4">
        <v>32706</v>
      </c>
    </row>
    <row r="74" spans="2:15" x14ac:dyDescent="0.45">
      <c r="B74" s="7" t="s">
        <v>100</v>
      </c>
      <c r="N74" s="6"/>
      <c r="O74" s="6">
        <f>O73+O72</f>
        <v>87546</v>
      </c>
    </row>
  </sheetData>
  <conditionalFormatting sqref="AY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70EE-094D-4337-AEFB-E8A156EA2E10}">
  <dimension ref="A1:AR30"/>
  <sheetViews>
    <sheetView zoomScaleNormal="100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F16" sqref="AF16"/>
    </sheetView>
  </sheetViews>
  <sheetFormatPr defaultRowHeight="14.25" x14ac:dyDescent="0.45"/>
  <cols>
    <col min="2" max="2" width="19.59765625" bestFit="1" customWidth="1"/>
    <col min="4" max="14" width="10.73046875" bestFit="1" customWidth="1"/>
    <col min="20" max="23" width="9.1328125" style="3"/>
    <col min="24" max="29" width="10.73046875" style="3" bestFit="1" customWidth="1"/>
    <col min="30" max="32" width="10.73046875" bestFit="1" customWidth="1"/>
  </cols>
  <sheetData>
    <row r="1" spans="1:44" x14ac:dyDescent="0.45">
      <c r="D1" s="5">
        <v>44377</v>
      </c>
      <c r="E1" s="5">
        <v>44469</v>
      </c>
      <c r="F1" s="5">
        <v>44561</v>
      </c>
      <c r="G1" s="5">
        <v>44651</v>
      </c>
      <c r="H1" s="5">
        <v>44742</v>
      </c>
      <c r="I1" s="5">
        <v>44834</v>
      </c>
      <c r="J1" s="5">
        <v>44926</v>
      </c>
      <c r="K1" s="5">
        <v>45016</v>
      </c>
      <c r="L1" s="5">
        <v>45107</v>
      </c>
      <c r="M1" s="5">
        <v>45199</v>
      </c>
      <c r="N1" s="5">
        <v>45291</v>
      </c>
      <c r="T1"/>
      <c r="U1"/>
      <c r="V1"/>
      <c r="W1"/>
      <c r="X1" s="5">
        <v>42460</v>
      </c>
      <c r="Y1" s="5">
        <v>42825</v>
      </c>
      <c r="Z1" s="5">
        <v>43190</v>
      </c>
      <c r="AA1" s="5">
        <v>43555</v>
      </c>
      <c r="AB1" s="5">
        <v>43921</v>
      </c>
      <c r="AC1" s="5">
        <v>44286</v>
      </c>
      <c r="AD1" s="5">
        <v>44651</v>
      </c>
      <c r="AE1" s="5">
        <v>45016</v>
      </c>
      <c r="AF1" s="5">
        <v>45382</v>
      </c>
      <c r="AG1" s="9">
        <v>1</v>
      </c>
      <c r="AH1" s="9">
        <f t="shared" ref="AH1:AR1" si="0">AG1+1</f>
        <v>2</v>
      </c>
      <c r="AI1" s="9">
        <f t="shared" si="0"/>
        <v>3</v>
      </c>
      <c r="AJ1" s="9">
        <f t="shared" si="0"/>
        <v>4</v>
      </c>
      <c r="AK1" s="9">
        <f t="shared" si="0"/>
        <v>5</v>
      </c>
      <c r="AL1" s="9">
        <f t="shared" si="0"/>
        <v>6</v>
      </c>
      <c r="AM1" s="9">
        <f t="shared" si="0"/>
        <v>7</v>
      </c>
      <c r="AN1" s="9">
        <f t="shared" si="0"/>
        <v>8</v>
      </c>
      <c r="AO1" s="9">
        <f t="shared" si="0"/>
        <v>9</v>
      </c>
      <c r="AP1" s="9">
        <f t="shared" si="0"/>
        <v>10</v>
      </c>
      <c r="AQ1" s="9">
        <f t="shared" si="0"/>
        <v>11</v>
      </c>
      <c r="AR1" s="9">
        <f t="shared" si="0"/>
        <v>12</v>
      </c>
    </row>
    <row r="2" spans="1:44" x14ac:dyDescent="0.45">
      <c r="C2" s="3"/>
      <c r="D2" s="3" t="s">
        <v>110</v>
      </c>
      <c r="E2" s="3" t="s">
        <v>109</v>
      </c>
      <c r="F2" s="3" t="s">
        <v>38</v>
      </c>
      <c r="G2" s="3" t="s">
        <v>37</v>
      </c>
      <c r="H2" t="s">
        <v>36</v>
      </c>
      <c r="I2" t="s">
        <v>35</v>
      </c>
      <c r="J2" t="s">
        <v>32</v>
      </c>
      <c r="K2" t="s">
        <v>34</v>
      </c>
      <c r="L2" t="s">
        <v>33</v>
      </c>
      <c r="M2" t="s">
        <v>31</v>
      </c>
      <c r="N2" t="s">
        <v>29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/>
      <c r="U2"/>
      <c r="V2"/>
      <c r="W2"/>
      <c r="X2" t="s">
        <v>53</v>
      </c>
      <c r="Y2" t="s">
        <v>52</v>
      </c>
      <c r="Z2" t="s">
        <v>51</v>
      </c>
      <c r="AA2" t="s">
        <v>50</v>
      </c>
      <c r="AB2" t="s">
        <v>49</v>
      </c>
      <c r="AC2" t="s">
        <v>48</v>
      </c>
      <c r="AD2" t="s">
        <v>47</v>
      </c>
      <c r="AE2" t="s">
        <v>46</v>
      </c>
      <c r="AF2" t="s">
        <v>54</v>
      </c>
      <c r="AG2" t="s">
        <v>55</v>
      </c>
      <c r="AH2" t="s">
        <v>55</v>
      </c>
      <c r="AI2" t="s">
        <v>56</v>
      </c>
      <c r="AJ2" t="s">
        <v>57</v>
      </c>
      <c r="AK2" t="s">
        <v>58</v>
      </c>
      <c r="AL2" t="s">
        <v>59</v>
      </c>
      <c r="AM2" t="s">
        <v>60</v>
      </c>
      <c r="AN2" t="s">
        <v>61</v>
      </c>
      <c r="AO2" t="s">
        <v>62</v>
      </c>
      <c r="AP2" t="s">
        <v>63</v>
      </c>
      <c r="AQ2" t="s">
        <v>64</v>
      </c>
      <c r="AR2" t="s">
        <v>65</v>
      </c>
    </row>
    <row r="3" spans="1:44" x14ac:dyDescent="0.45">
      <c r="C3" s="3"/>
      <c r="D3" s="3"/>
      <c r="E3" s="3"/>
      <c r="F3" s="3"/>
      <c r="G3" s="3"/>
      <c r="T3"/>
      <c r="U3"/>
      <c r="V3"/>
      <c r="W3"/>
      <c r="X3"/>
      <c r="Y3"/>
      <c r="Z3"/>
      <c r="AA3"/>
      <c r="AB3"/>
      <c r="AC3"/>
    </row>
    <row r="4" spans="1:44" x14ac:dyDescent="0.45">
      <c r="B4" s="1" t="s">
        <v>13</v>
      </c>
      <c r="C4" s="3"/>
      <c r="D4" s="3"/>
      <c r="E4" s="3"/>
      <c r="F4" s="3"/>
      <c r="G4" s="3"/>
      <c r="T4"/>
      <c r="U4"/>
      <c r="V4"/>
      <c r="W4"/>
      <c r="X4"/>
      <c r="Y4"/>
      <c r="Z4"/>
      <c r="AA4"/>
      <c r="AB4"/>
      <c r="AC4"/>
    </row>
    <row r="5" spans="1:44" x14ac:dyDescent="0.45">
      <c r="B5" t="s">
        <v>103</v>
      </c>
      <c r="C5" s="3"/>
      <c r="D5" s="3">
        <v>8100</v>
      </c>
      <c r="E5" s="3">
        <v>10035</v>
      </c>
      <c r="F5" s="3">
        <v>10742</v>
      </c>
      <c r="G5" s="3">
        <v>14517</v>
      </c>
      <c r="H5" s="3">
        <v>9327</v>
      </c>
      <c r="I5" s="3">
        <v>10906</v>
      </c>
      <c r="J5" s="3">
        <v>12255</v>
      </c>
      <c r="K5" s="3">
        <v>15080</v>
      </c>
      <c r="L5" s="3">
        <v>7346</v>
      </c>
      <c r="M5" s="3">
        <v>8643</v>
      </c>
      <c r="N5" s="3">
        <v>8495</v>
      </c>
      <c r="O5" s="3">
        <v>12404</v>
      </c>
      <c r="P5" s="3">
        <f>L5*(1+$P$6)</f>
        <v>7492.92</v>
      </c>
      <c r="Q5" s="3">
        <f>M5*(1+$Q$6)</f>
        <v>8815.86</v>
      </c>
      <c r="R5" s="3">
        <f>N5*(1+$Q$6)</f>
        <v>8664.9</v>
      </c>
      <c r="S5" s="3">
        <f>O5*(1+$Q$6)</f>
        <v>12652.08</v>
      </c>
      <c r="Y5" s="3">
        <f>5268.22+3854.19+3522.05+3551.46</f>
        <v>16195.919999999998</v>
      </c>
      <c r="Z5" s="3">
        <f>5561+4015+3621+3720</f>
        <v>16917</v>
      </c>
      <c r="AA5" s="3">
        <f>4002+4109+8284+4753</f>
        <v>21148</v>
      </c>
      <c r="AB5" s="3">
        <f>10659+8487+7542+7696</f>
        <v>34384</v>
      </c>
      <c r="AC5" s="3">
        <f>12331+8686+8534+7487</f>
        <v>37038</v>
      </c>
      <c r="AD5" s="3">
        <f>SUM(D5:G5)</f>
        <v>43394</v>
      </c>
      <c r="AE5" s="3">
        <f>SUM(H5:K5)</f>
        <v>47568</v>
      </c>
      <c r="AF5" s="3">
        <f>SUM(L5:O5)</f>
        <v>36888</v>
      </c>
      <c r="AG5" s="3">
        <f>SUM(P5:S5)</f>
        <v>37625.760000000002</v>
      </c>
      <c r="AH5" s="3">
        <f>AG5*(1+AH6)</f>
        <v>38378.275200000004</v>
      </c>
      <c r="AI5" s="3">
        <f t="shared" ref="AI5:AK5" si="1">AH5*(1+AI6)</f>
        <v>39414.488630400003</v>
      </c>
      <c r="AJ5" s="3">
        <f t="shared" si="1"/>
        <v>40754.581243833607</v>
      </c>
      <c r="AK5" s="3">
        <f t="shared" si="1"/>
        <v>42425.51907483078</v>
      </c>
      <c r="AL5" s="3">
        <f>AK5*(1+$AL$6)</f>
        <v>44461.94399042266</v>
      </c>
      <c r="AM5" s="3">
        <f t="shared" ref="AM5:AR5" si="2">AL5*(1+$AL$6)</f>
        <v>46596.11730196295</v>
      </c>
      <c r="AN5" s="3">
        <f t="shared" si="2"/>
        <v>48832.730932457176</v>
      </c>
      <c r="AO5" s="3">
        <f t="shared" si="2"/>
        <v>51176.702017215124</v>
      </c>
      <c r="AP5" s="3">
        <f t="shared" si="2"/>
        <v>53633.18371404145</v>
      </c>
      <c r="AQ5" s="3">
        <f t="shared" si="2"/>
        <v>56207.576532315441</v>
      </c>
      <c r="AR5" s="3">
        <f t="shared" si="2"/>
        <v>58905.540205866586</v>
      </c>
    </row>
    <row r="6" spans="1:44" x14ac:dyDescent="0.45">
      <c r="B6" s="10" t="s">
        <v>115</v>
      </c>
      <c r="C6" s="3"/>
      <c r="D6" s="3"/>
      <c r="E6" s="3"/>
      <c r="F6" s="3"/>
      <c r="G6" s="3"/>
      <c r="H6" s="16">
        <f>H5/D5-1</f>
        <v>0.15148148148148155</v>
      </c>
      <c r="I6" s="16">
        <f t="shared" ref="I6:O6" si="3">I5/E5-1</f>
        <v>8.679621325361242E-2</v>
      </c>
      <c r="J6" s="16">
        <f t="shared" si="3"/>
        <v>0.14084900390988642</v>
      </c>
      <c r="K6" s="16">
        <f t="shared" si="3"/>
        <v>3.8782117517393466E-2</v>
      </c>
      <c r="L6" s="16">
        <f t="shared" si="3"/>
        <v>-0.21239412458453955</v>
      </c>
      <c r="M6" s="16">
        <f t="shared" si="3"/>
        <v>-0.20750045846323129</v>
      </c>
      <c r="N6" s="16">
        <f t="shared" si="3"/>
        <v>-0.30681354549163609</v>
      </c>
      <c r="O6" s="16">
        <f t="shared" si="3"/>
        <v>-0.17745358090185681</v>
      </c>
      <c r="P6" s="17">
        <v>0.02</v>
      </c>
      <c r="Q6" s="13">
        <v>0.02</v>
      </c>
      <c r="Z6" s="16">
        <f>Z5/Y5-1</f>
        <v>4.4522324140894964E-2</v>
      </c>
      <c r="AA6" s="16">
        <f t="shared" ref="AA6:AG6" si="4">AA5/Z5-1</f>
        <v>0.25010344623751246</v>
      </c>
      <c r="AB6" s="16">
        <f t="shared" si="4"/>
        <v>0.62587478721392098</v>
      </c>
      <c r="AC6" s="16">
        <f t="shared" si="4"/>
        <v>7.7187063750581597E-2</v>
      </c>
      <c r="AD6" s="16">
        <f t="shared" si="4"/>
        <v>0.17160753820400676</v>
      </c>
      <c r="AE6" s="16">
        <f t="shared" si="4"/>
        <v>9.6188413144674412E-2</v>
      </c>
      <c r="AF6" s="16">
        <f t="shared" si="4"/>
        <v>-0.22452068617558019</v>
      </c>
      <c r="AG6" s="16">
        <f t="shared" si="4"/>
        <v>2.0000000000000018E-2</v>
      </c>
      <c r="AH6" s="17">
        <v>0.02</v>
      </c>
      <c r="AI6" s="26">
        <f>AH6+(($AL$6-$AH$6)/($AL$1-$AH$1))</f>
        <v>2.7E-2</v>
      </c>
      <c r="AJ6" s="26">
        <f t="shared" ref="AJ6:AK6" si="5">AI6+(($AL$6-$AH$6)/($AL$1-$AH$1))</f>
        <v>3.4000000000000002E-2</v>
      </c>
      <c r="AK6" s="26">
        <f t="shared" si="5"/>
        <v>4.1000000000000002E-2</v>
      </c>
      <c r="AL6" s="24">
        <v>4.8000000000000001E-2</v>
      </c>
    </row>
    <row r="7" spans="1:44" x14ac:dyDescent="0.45">
      <c r="B7" t="s">
        <v>104</v>
      </c>
      <c r="C7" s="3"/>
      <c r="D7" s="3"/>
      <c r="E7" s="3"/>
      <c r="F7" s="3"/>
      <c r="G7" s="3">
        <v>776</v>
      </c>
      <c r="H7" s="3">
        <v>841</v>
      </c>
      <c r="I7" s="3">
        <v>983</v>
      </c>
      <c r="J7" s="3">
        <v>912</v>
      </c>
      <c r="K7" s="3">
        <v>867</v>
      </c>
      <c r="L7" s="3">
        <v>1091</v>
      </c>
      <c r="M7" s="3">
        <v>1072</v>
      </c>
      <c r="N7" s="3">
        <v>931</v>
      </c>
      <c r="O7" s="3">
        <v>1130</v>
      </c>
      <c r="P7" s="3">
        <f>L7*(1+$Q$8)</f>
        <v>1309.2</v>
      </c>
      <c r="Q7" s="3">
        <f>M7*(1+$Q$8)</f>
        <v>1286.3999999999999</v>
      </c>
      <c r="R7" s="3">
        <f>N7*(1+$Q$8)</f>
        <v>1117.2</v>
      </c>
      <c r="S7" s="3">
        <f>O7*(1+$Q$8)</f>
        <v>1356</v>
      </c>
      <c r="AD7" s="3">
        <f t="shared" ref="AD7:AD13" si="6">SUM(D7:G7)</f>
        <v>776</v>
      </c>
      <c r="AE7" s="3">
        <f t="shared" ref="AE7:AE13" si="7">SUM(H7:K7)</f>
        <v>3603</v>
      </c>
      <c r="AF7" s="3">
        <f>SUM(L7:O7)</f>
        <v>4224</v>
      </c>
      <c r="AG7" s="3">
        <f>SUM(P7:S7)</f>
        <v>5068.8</v>
      </c>
      <c r="AH7" s="3">
        <f>AG7*(1+$AH$8)</f>
        <v>6082.56</v>
      </c>
      <c r="AI7" s="3">
        <f t="shared" ref="AI7:AR7" si="8">AH7*(1+$AH$8)</f>
        <v>7299.0720000000001</v>
      </c>
      <c r="AJ7" s="3">
        <f t="shared" si="8"/>
        <v>8758.8863999999994</v>
      </c>
      <c r="AK7" s="3">
        <f t="shared" si="8"/>
        <v>10510.66368</v>
      </c>
      <c r="AL7" s="3">
        <f t="shared" si="8"/>
        <v>12612.796415999999</v>
      </c>
      <c r="AM7" s="3">
        <f t="shared" si="8"/>
        <v>15135.355699199998</v>
      </c>
      <c r="AN7" s="3">
        <f t="shared" si="8"/>
        <v>18162.426839039996</v>
      </c>
      <c r="AO7" s="3">
        <f t="shared" si="8"/>
        <v>21794.912206847996</v>
      </c>
      <c r="AP7" s="3">
        <f t="shared" si="8"/>
        <v>26153.894648217592</v>
      </c>
      <c r="AQ7" s="3">
        <f t="shared" si="8"/>
        <v>31384.673577861111</v>
      </c>
      <c r="AR7" s="3">
        <f t="shared" si="8"/>
        <v>37661.608293433332</v>
      </c>
    </row>
    <row r="8" spans="1:44" x14ac:dyDescent="0.45">
      <c r="B8" s="10" t="s">
        <v>115</v>
      </c>
      <c r="C8" s="3"/>
      <c r="D8" s="3"/>
      <c r="E8" s="3"/>
      <c r="F8" s="3"/>
      <c r="G8" s="3"/>
      <c r="H8" s="3"/>
      <c r="I8" s="3"/>
      <c r="J8" s="3"/>
      <c r="K8" s="16">
        <f>K7/G7-1</f>
        <v>0.11726804123711343</v>
      </c>
      <c r="L8" s="16">
        <f t="shared" ref="L8:O8" si="9">L7/H7-1</f>
        <v>0.29726516052318663</v>
      </c>
      <c r="M8" s="16">
        <f t="shared" si="9"/>
        <v>9.053916581892163E-2</v>
      </c>
      <c r="N8" s="16">
        <f t="shared" si="9"/>
        <v>2.0833333333333259E-2</v>
      </c>
      <c r="O8" s="16">
        <f t="shared" si="9"/>
        <v>0.30334486735870825</v>
      </c>
      <c r="P8" s="17">
        <v>0.15</v>
      </c>
      <c r="Q8" s="13">
        <v>0.2</v>
      </c>
      <c r="AD8" s="3"/>
      <c r="AE8" s="16">
        <f>AE7/AD7-1</f>
        <v>3.643041237113402</v>
      </c>
      <c r="AF8" s="16">
        <f>AF7/AE7-1</f>
        <v>0.17235636969192347</v>
      </c>
      <c r="AG8" s="16">
        <f>AG7/AF7-1</f>
        <v>0.19999999999999996</v>
      </c>
      <c r="AH8" s="17">
        <v>0.2</v>
      </c>
      <c r="AI8" s="26">
        <f>AH8+(($AL$8-$AH$8)/($AL$1-$AH$1))</f>
        <v>0.21250000000000002</v>
      </c>
      <c r="AJ8" s="26">
        <f t="shared" ref="AJ8:AK10" si="10">AI8+(($AL$10-$AH$10)/($AL$1-$AH$1))</f>
        <v>0.25</v>
      </c>
      <c r="AK8" s="26">
        <f t="shared" si="10"/>
        <v>0.28749999999999998</v>
      </c>
      <c r="AL8" s="24">
        <v>0.25</v>
      </c>
    </row>
    <row r="9" spans="1:44" x14ac:dyDescent="0.45">
      <c r="B9" t="s">
        <v>105</v>
      </c>
      <c r="C9" s="3"/>
      <c r="D9" s="3">
        <v>501</v>
      </c>
      <c r="E9" s="3">
        <v>618</v>
      </c>
      <c r="F9" s="3">
        <v>630</v>
      </c>
      <c r="G9" s="3">
        <v>673</v>
      </c>
      <c r="H9" s="3">
        <v>770</v>
      </c>
      <c r="I9" s="3">
        <v>714</v>
      </c>
      <c r="J9" s="3">
        <v>573</v>
      </c>
      <c r="K9" s="3">
        <v>684</v>
      </c>
      <c r="L9" s="3">
        <v>625</v>
      </c>
      <c r="M9" s="3">
        <v>539</v>
      </c>
      <c r="N9" s="3">
        <v>520</v>
      </c>
      <c r="O9" s="3">
        <v>621</v>
      </c>
      <c r="P9" s="3">
        <f>L9*(1+$Q$10)</f>
        <v>568.75</v>
      </c>
      <c r="Q9" s="3">
        <f>M9*(1+$Q$10)</f>
        <v>490.49</v>
      </c>
      <c r="R9" s="3">
        <f>N9*(1+$Q$10)</f>
        <v>473.2</v>
      </c>
      <c r="S9" s="3">
        <f>O9*(1+$Q$10)</f>
        <v>565.11</v>
      </c>
      <c r="Y9" s="3">
        <f>188.91+147.73+147.02+164.7</f>
        <v>648.3599999999999</v>
      </c>
      <c r="Z9" s="3">
        <f>210+191+158+207</f>
        <v>766</v>
      </c>
      <c r="AA9" s="3">
        <v>966</v>
      </c>
      <c r="AB9" s="3">
        <f>346+374+521+366</f>
        <v>1607</v>
      </c>
      <c r="AC9" s="3">
        <f>462+409+514+497</f>
        <v>1882</v>
      </c>
      <c r="AD9" s="3">
        <f t="shared" si="6"/>
        <v>2422</v>
      </c>
      <c r="AE9" s="3">
        <f t="shared" si="7"/>
        <v>2741</v>
      </c>
      <c r="AF9" s="3">
        <f>SUM(L9:O9)</f>
        <v>2305</v>
      </c>
      <c r="AG9" s="3">
        <f>SUM(P9:S9)</f>
        <v>2097.5500000000002</v>
      </c>
      <c r="AH9" s="3">
        <f>AG9*(1+AH10)</f>
        <v>2160.4765000000002</v>
      </c>
      <c r="AI9" s="3">
        <f t="shared" ref="AI9:AK9" si="11">AH9*(1+AI10)</f>
        <v>2306.3086637500001</v>
      </c>
      <c r="AJ9" s="3">
        <f t="shared" si="11"/>
        <v>2548.4710734437499</v>
      </c>
      <c r="AK9" s="3">
        <f t="shared" si="11"/>
        <v>2911.6282014094845</v>
      </c>
      <c r="AL9" s="3">
        <f>AK9*(1+$AL$10)</f>
        <v>3435.7212776631914</v>
      </c>
      <c r="AM9" s="3">
        <f t="shared" ref="AM9:AR9" si="12">AL9*(1+$AL$10)</f>
        <v>4054.1511076425654</v>
      </c>
      <c r="AN9" s="3">
        <f t="shared" si="12"/>
        <v>4783.8983070182267</v>
      </c>
      <c r="AO9" s="3">
        <f t="shared" si="12"/>
        <v>5645.0000022815075</v>
      </c>
      <c r="AP9" s="3">
        <f t="shared" si="12"/>
        <v>6661.1000026921784</v>
      </c>
      <c r="AQ9" s="3">
        <f t="shared" si="12"/>
        <v>7860.0980031767704</v>
      </c>
      <c r="AR9" s="3">
        <f t="shared" si="12"/>
        <v>9274.915643748589</v>
      </c>
    </row>
    <row r="10" spans="1:44" x14ac:dyDescent="0.45">
      <c r="B10" s="10" t="s">
        <v>115</v>
      </c>
      <c r="C10" s="3"/>
      <c r="D10" s="3"/>
      <c r="E10" s="3"/>
      <c r="F10" s="3"/>
      <c r="G10" s="3"/>
      <c r="H10" s="16">
        <f>H9/D9-1</f>
        <v>0.53692614770459079</v>
      </c>
      <c r="I10" s="16">
        <f t="shared" ref="I10:O10" si="13">I9/E9-1</f>
        <v>0.15533980582524265</v>
      </c>
      <c r="J10" s="16">
        <f t="shared" si="13"/>
        <v>-9.0476190476190488E-2</v>
      </c>
      <c r="K10" s="16">
        <f t="shared" si="13"/>
        <v>1.634472511144125E-2</v>
      </c>
      <c r="L10" s="16">
        <f t="shared" si="13"/>
        <v>-0.18831168831168832</v>
      </c>
      <c r="M10" s="16">
        <f t="shared" si="13"/>
        <v>-0.24509803921568629</v>
      </c>
      <c r="N10" s="16">
        <f t="shared" si="13"/>
        <v>-9.2495636998254804E-2</v>
      </c>
      <c r="O10" s="16">
        <f t="shared" si="13"/>
        <v>-9.210526315789469E-2</v>
      </c>
      <c r="P10" s="17">
        <v>-0.09</v>
      </c>
      <c r="Q10" s="13">
        <v>-0.09</v>
      </c>
      <c r="Z10" s="16">
        <f>Z9/Y9-1</f>
        <v>0.18144240853846649</v>
      </c>
      <c r="AA10" s="16">
        <f t="shared" ref="AA10:AG10" si="14">AA9/Z9-1</f>
        <v>0.2610966057441253</v>
      </c>
      <c r="AB10" s="16">
        <f t="shared" si="14"/>
        <v>0.66356107660455477</v>
      </c>
      <c r="AC10" s="16">
        <f t="shared" si="14"/>
        <v>0.17112632233976344</v>
      </c>
      <c r="AD10" s="16">
        <f t="shared" si="14"/>
        <v>0.2869287991498406</v>
      </c>
      <c r="AE10" s="16">
        <f t="shared" si="14"/>
        <v>0.13170933113129646</v>
      </c>
      <c r="AF10" s="16">
        <f t="shared" si="14"/>
        <v>-0.1590660342940533</v>
      </c>
      <c r="AG10" s="16">
        <f t="shared" si="14"/>
        <v>-8.9999999999999969E-2</v>
      </c>
      <c r="AH10" s="17">
        <v>0.03</v>
      </c>
      <c r="AI10" s="26">
        <f>AH10+(($AL$10-$AH$10)/($AL$1-$AH$1))</f>
        <v>6.7500000000000004E-2</v>
      </c>
      <c r="AJ10" s="26">
        <f t="shared" si="10"/>
        <v>0.10500000000000001</v>
      </c>
      <c r="AK10" s="26">
        <f t="shared" si="10"/>
        <v>0.14250000000000002</v>
      </c>
      <c r="AL10" s="24">
        <v>0.18</v>
      </c>
    </row>
    <row r="11" spans="1:44" s="3" customFormat="1" x14ac:dyDescent="0.45">
      <c r="A11"/>
      <c r="B11" t="s">
        <v>106</v>
      </c>
      <c r="D11" s="3">
        <v>2</v>
      </c>
      <c r="E11" s="3">
        <v>1</v>
      </c>
      <c r="F11" s="3">
        <v>1</v>
      </c>
      <c r="G11" s="3">
        <v>0</v>
      </c>
      <c r="H11" s="3">
        <v>1</v>
      </c>
      <c r="I11" s="3">
        <v>1</v>
      </c>
      <c r="J11" s="3">
        <v>1</v>
      </c>
      <c r="K11" s="3">
        <v>1</v>
      </c>
      <c r="L11" s="3">
        <v>9</v>
      </c>
      <c r="M11" s="3">
        <v>1</v>
      </c>
      <c r="N11" s="3">
        <v>-1</v>
      </c>
      <c r="O11" s="3">
        <v>1</v>
      </c>
      <c r="P11" s="23">
        <v>0</v>
      </c>
      <c r="Q11">
        <f>P11</f>
        <v>0</v>
      </c>
      <c r="R11">
        <f t="shared" ref="R11:S11" si="15">Q11</f>
        <v>0</v>
      </c>
      <c r="S11">
        <f t="shared" si="15"/>
        <v>0</v>
      </c>
      <c r="Y11" s="3">
        <f>12.53+1.78+1.11+2.99</f>
        <v>18.409999999999997</v>
      </c>
      <c r="Z11" s="3">
        <f>9+2+2+2</f>
        <v>15</v>
      </c>
      <c r="AA11" s="3">
        <f>1+2+4+2</f>
        <v>9</v>
      </c>
      <c r="AB11" s="3">
        <f>2+0+2+2</f>
        <v>6</v>
      </c>
      <c r="AC11" s="3">
        <f>1+2+2+6</f>
        <v>11</v>
      </c>
      <c r="AD11" s="3">
        <f t="shared" si="6"/>
        <v>4</v>
      </c>
      <c r="AE11" s="3">
        <f t="shared" si="7"/>
        <v>4</v>
      </c>
      <c r="AF11" s="3">
        <f>SUM(L11:P11)</f>
        <v>10</v>
      </c>
      <c r="AG11">
        <f>SUM(P11:S11)</f>
        <v>0</v>
      </c>
      <c r="AH11" s="14">
        <f>AVERAGE(Y11:AF11)</f>
        <v>9.6762499999999996</v>
      </c>
      <c r="AI11" s="3">
        <f t="shared" ref="AI11:AR11" si="16">AH11*(1+$AH$12)</f>
        <v>9.6762499999999996</v>
      </c>
      <c r="AJ11" s="3">
        <f t="shared" si="16"/>
        <v>9.6762499999999996</v>
      </c>
      <c r="AK11" s="3">
        <f t="shared" si="16"/>
        <v>9.6762499999999996</v>
      </c>
      <c r="AL11" s="3">
        <f t="shared" si="16"/>
        <v>9.6762499999999996</v>
      </c>
      <c r="AM11" s="3">
        <f t="shared" si="16"/>
        <v>9.6762499999999996</v>
      </c>
      <c r="AN11" s="3">
        <f t="shared" si="16"/>
        <v>9.6762499999999996</v>
      </c>
      <c r="AO11" s="3">
        <f t="shared" si="16"/>
        <v>9.6762499999999996</v>
      </c>
      <c r="AP11" s="3">
        <f t="shared" si="16"/>
        <v>9.6762499999999996</v>
      </c>
      <c r="AQ11" s="3">
        <f t="shared" si="16"/>
        <v>9.6762499999999996</v>
      </c>
      <c r="AR11" s="3">
        <f t="shared" si="16"/>
        <v>9.6762499999999996</v>
      </c>
    </row>
    <row r="12" spans="1:44" s="3" customFormat="1" x14ac:dyDescent="0.45">
      <c r="A12"/>
      <c r="B12"/>
      <c r="P12"/>
      <c r="Q12"/>
      <c r="R12"/>
      <c r="S12"/>
      <c r="Z12" s="16">
        <f>Z11/Y11-1</f>
        <v>-0.18522542096686567</v>
      </c>
      <c r="AA12" s="16">
        <f t="shared" ref="AA12:AF12" si="17">AA11/Z11-1</f>
        <v>-0.4</v>
      </c>
      <c r="AB12" s="16">
        <f t="shared" si="17"/>
        <v>-0.33333333333333337</v>
      </c>
      <c r="AC12" s="16">
        <f t="shared" si="17"/>
        <v>0.83333333333333326</v>
      </c>
      <c r="AD12" s="16">
        <f t="shared" si="17"/>
        <v>-0.63636363636363635</v>
      </c>
      <c r="AE12" s="16">
        <f t="shared" si="17"/>
        <v>0</v>
      </c>
      <c r="AF12" s="16">
        <f t="shared" si="17"/>
        <v>1.5</v>
      </c>
      <c r="AG12"/>
      <c r="AH12"/>
    </row>
    <row r="13" spans="1:44" s="3" customFormat="1" x14ac:dyDescent="0.45">
      <c r="A13"/>
      <c r="B13" t="s">
        <v>107</v>
      </c>
      <c r="D13" s="3">
        <v>88</v>
      </c>
      <c r="E13" s="3">
        <v>87</v>
      </c>
      <c r="F13" s="3">
        <v>76</v>
      </c>
      <c r="G13" s="3">
        <v>105</v>
      </c>
      <c r="H13" s="3">
        <v>118</v>
      </c>
      <c r="I13" s="3">
        <v>97</v>
      </c>
      <c r="J13" s="3">
        <v>62</v>
      </c>
      <c r="K13" s="3">
        <v>63</v>
      </c>
      <c r="L13" s="3">
        <v>108</v>
      </c>
      <c r="M13" s="3">
        <v>85</v>
      </c>
      <c r="N13" s="3">
        <v>58</v>
      </c>
      <c r="O13" s="3">
        <v>77</v>
      </c>
      <c r="P13" s="14">
        <f>AVERAGE(D13:O13)</f>
        <v>85.333333333333329</v>
      </c>
      <c r="Q13" s="3">
        <f>P13</f>
        <v>85.333333333333329</v>
      </c>
      <c r="R13" s="3">
        <f t="shared" ref="R13:S13" si="18">Q13</f>
        <v>85.333333333333329</v>
      </c>
      <c r="S13" s="3">
        <f t="shared" si="18"/>
        <v>85.333333333333329</v>
      </c>
      <c r="Y13" s="3">
        <f>54.48+58.19+36.28+33.36</f>
        <v>182.31</v>
      </c>
      <c r="Z13" s="3">
        <f>54+62+37+30</f>
        <v>183</v>
      </c>
      <c r="AA13" s="3">
        <f>54+74+83+75</f>
        <v>286</v>
      </c>
      <c r="AB13" s="3">
        <f>73+166+41-39</f>
        <v>241</v>
      </c>
      <c r="AC13" s="3">
        <f>59+69+50+59</f>
        <v>237</v>
      </c>
      <c r="AD13" s="3">
        <f t="shared" si="6"/>
        <v>356</v>
      </c>
      <c r="AE13" s="3">
        <f t="shared" si="7"/>
        <v>340</v>
      </c>
      <c r="AF13" s="3">
        <f>SUM(L13:P13)</f>
        <v>413.33333333333331</v>
      </c>
      <c r="AG13" s="3">
        <f>SUM(P13:S13)</f>
        <v>341.33333333333331</v>
      </c>
      <c r="AH13" s="3">
        <f>AG13*(1+$AH$14)</f>
        <v>358.4</v>
      </c>
      <c r="AI13" s="3">
        <f t="shared" ref="AI13:AR13" si="19">AH13*(1+$AH$14)</f>
        <v>376.32</v>
      </c>
      <c r="AJ13" s="3">
        <f t="shared" si="19"/>
        <v>395.13600000000002</v>
      </c>
      <c r="AK13" s="3">
        <f t="shared" si="19"/>
        <v>414.89280000000002</v>
      </c>
      <c r="AL13" s="3">
        <f t="shared" si="19"/>
        <v>435.63744000000003</v>
      </c>
      <c r="AM13" s="3">
        <f t="shared" si="19"/>
        <v>457.41931200000005</v>
      </c>
      <c r="AN13" s="3">
        <f t="shared" si="19"/>
        <v>480.29027760000008</v>
      </c>
      <c r="AO13" s="3">
        <f t="shared" si="19"/>
        <v>504.30479148000012</v>
      </c>
      <c r="AP13" s="3">
        <f t="shared" si="19"/>
        <v>529.52003105400013</v>
      </c>
      <c r="AQ13" s="3">
        <f t="shared" si="19"/>
        <v>555.99603260670017</v>
      </c>
      <c r="AR13" s="3">
        <f t="shared" si="19"/>
        <v>583.79583423703525</v>
      </c>
    </row>
    <row r="14" spans="1:44" s="3" customFormat="1" x14ac:dyDescent="0.45">
      <c r="A14"/>
      <c r="B14"/>
      <c r="O14"/>
      <c r="P14"/>
      <c r="Q14"/>
      <c r="R14"/>
      <c r="S14"/>
      <c r="Z14" s="16">
        <f>Z13/Y13-1</f>
        <v>3.7847622181996776E-3</v>
      </c>
      <c r="AA14" s="16">
        <f t="shared" ref="AA14:AG14" si="20">AA13/Z13-1</f>
        <v>0.56284153005464477</v>
      </c>
      <c r="AB14" s="16">
        <f t="shared" si="20"/>
        <v>-0.15734265734265729</v>
      </c>
      <c r="AC14" s="16">
        <f t="shared" si="20"/>
        <v>-1.6597510373444035E-2</v>
      </c>
      <c r="AD14" s="16">
        <f t="shared" si="20"/>
        <v>0.5021097046413503</v>
      </c>
      <c r="AE14" s="16">
        <f t="shared" si="20"/>
        <v>-4.49438202247191E-2</v>
      </c>
      <c r="AF14" s="16">
        <f t="shared" si="20"/>
        <v>0.21568627450980382</v>
      </c>
      <c r="AG14" s="16">
        <f t="shared" si="20"/>
        <v>-0.17419354838709677</v>
      </c>
      <c r="AH14" s="24">
        <v>0.05</v>
      </c>
    </row>
    <row r="15" spans="1:44" s="3" customFormat="1" x14ac:dyDescent="0.45">
      <c r="A15"/>
      <c r="B15" s="7" t="s">
        <v>108</v>
      </c>
      <c r="D15" s="6">
        <f t="shared" ref="D15:N15" si="21">D5+D7+D9+D11-D13</f>
        <v>8515</v>
      </c>
      <c r="E15" s="6">
        <f t="shared" si="21"/>
        <v>10567</v>
      </c>
      <c r="F15" s="6">
        <f t="shared" si="21"/>
        <v>11297</v>
      </c>
      <c r="G15" s="6">
        <f t="shared" si="21"/>
        <v>15861</v>
      </c>
      <c r="H15" s="6">
        <f t="shared" si="21"/>
        <v>10821</v>
      </c>
      <c r="I15" s="6">
        <f t="shared" si="21"/>
        <v>12507</v>
      </c>
      <c r="J15" s="6">
        <f t="shared" si="21"/>
        <v>13679</v>
      </c>
      <c r="K15" s="6">
        <f t="shared" si="21"/>
        <v>16569</v>
      </c>
      <c r="L15" s="6">
        <f t="shared" si="21"/>
        <v>8963</v>
      </c>
      <c r="M15" s="6">
        <f t="shared" si="21"/>
        <v>10170</v>
      </c>
      <c r="N15" s="6">
        <f t="shared" si="21"/>
        <v>9887</v>
      </c>
      <c r="O15" s="6">
        <f>O5+O7+O9+P11-O13</f>
        <v>14078</v>
      </c>
      <c r="P15" s="6">
        <f>P5+P7+P9+P11-P13</f>
        <v>9285.5366666666669</v>
      </c>
      <c r="Q15" s="6">
        <f t="shared" ref="Q15:S15" si="22">Q5+Q7+Q9+Q11-Q13</f>
        <v>10507.416666666666</v>
      </c>
      <c r="R15" s="6">
        <f t="shared" si="22"/>
        <v>10169.966666666667</v>
      </c>
      <c r="S15" s="6">
        <f t="shared" si="22"/>
        <v>14487.856666666667</v>
      </c>
      <c r="X15" s="6"/>
      <c r="Y15" s="6">
        <f t="shared" ref="Y15:AG15" si="23">Y5+Y7+Y9+Y11-Y13</f>
        <v>16680.379999999997</v>
      </c>
      <c r="Z15" s="6">
        <f t="shared" si="23"/>
        <v>17515</v>
      </c>
      <c r="AA15" s="6">
        <f t="shared" si="23"/>
        <v>21837</v>
      </c>
      <c r="AB15" s="6">
        <f t="shared" si="23"/>
        <v>35756</v>
      </c>
      <c r="AC15" s="6">
        <f t="shared" si="23"/>
        <v>38694</v>
      </c>
      <c r="AD15" s="6">
        <f t="shared" si="23"/>
        <v>46240</v>
      </c>
      <c r="AE15" s="6">
        <f t="shared" si="23"/>
        <v>53576</v>
      </c>
      <c r="AF15" s="6">
        <f t="shared" si="23"/>
        <v>43013.666666666664</v>
      </c>
      <c r="AG15" s="6">
        <f t="shared" si="23"/>
        <v>44450.776666666672</v>
      </c>
      <c r="AH15" s="6">
        <f t="shared" ref="AH15" si="24">AH5+AH7+AH9+AH11-AH13</f>
        <v>46272.587949999994</v>
      </c>
      <c r="AI15" s="6">
        <f t="shared" ref="AI15" si="25">AI5+AI7+AI9+AI11-AI13</f>
        <v>48653.225544150002</v>
      </c>
      <c r="AJ15" s="6">
        <f t="shared" ref="AJ15" si="26">AJ5+AJ7+AJ9+AJ11-AJ13</f>
        <v>51676.478967277348</v>
      </c>
      <c r="AK15" s="6">
        <f t="shared" ref="AK15" si="27">AK5+AK7+AK9+AK11-AK13</f>
        <v>55442.594406240256</v>
      </c>
      <c r="AL15" s="6">
        <f t="shared" ref="AL15" si="28">AL5+AL7+AL9+AL11-AL13</f>
        <v>60084.500494085849</v>
      </c>
      <c r="AM15" s="6">
        <f t="shared" ref="AM15" si="29">AM5+AM7+AM9+AM11-AM13</f>
        <v>65337.881046805516</v>
      </c>
      <c r="AN15" s="6">
        <f t="shared" ref="AN15" si="30">AN5+AN7+AN9+AN11-AN13</f>
        <v>71308.442050915415</v>
      </c>
      <c r="AO15" s="6">
        <f t="shared" ref="AO15" si="31">AO5+AO7+AO9+AO11-AO13</f>
        <v>78121.98568486463</v>
      </c>
      <c r="AP15" s="6">
        <f t="shared" ref="AP15" si="32">AP5+AP7+AP9+AP11-AP13</f>
        <v>85928.334583897231</v>
      </c>
      <c r="AQ15" s="6">
        <f t="shared" ref="AQ15" si="33">AQ5+AQ7+AQ9+AQ11-AQ13</f>
        <v>94906.028330746631</v>
      </c>
      <c r="AR15" s="6">
        <f t="shared" ref="AR15" si="34">AR5+AR7+AR9+AR11-AR13</f>
        <v>105267.94455881148</v>
      </c>
    </row>
    <row r="16" spans="1:44" s="3" customFormat="1" x14ac:dyDescent="0.45">
      <c r="A16"/>
      <c r="B16" s="10" t="s">
        <v>115</v>
      </c>
      <c r="C16"/>
      <c r="D16"/>
      <c r="E16"/>
      <c r="F16"/>
      <c r="G16"/>
      <c r="H16" s="16">
        <f>H15/D15-1</f>
        <v>0.27081620669406936</v>
      </c>
      <c r="I16" s="16">
        <f t="shared" ref="I16:S16" si="35">I15/E15-1</f>
        <v>0.18359042301504691</v>
      </c>
      <c r="J16" s="16">
        <f t="shared" si="35"/>
        <v>0.21085243870053993</v>
      </c>
      <c r="K16" s="16">
        <f t="shared" si="35"/>
        <v>4.4637790807641409E-2</v>
      </c>
      <c r="L16" s="16">
        <f t="shared" si="35"/>
        <v>-0.17170316976249889</v>
      </c>
      <c r="M16" s="16">
        <f t="shared" si="35"/>
        <v>-0.18685536099784117</v>
      </c>
      <c r="N16" s="16">
        <f t="shared" si="35"/>
        <v>-0.27721324658235247</v>
      </c>
      <c r="O16" s="16">
        <f t="shared" si="35"/>
        <v>-0.15034099824974345</v>
      </c>
      <c r="P16" s="16">
        <f t="shared" si="35"/>
        <v>3.5985347167986959E-2</v>
      </c>
      <c r="Q16" s="16">
        <f t="shared" si="35"/>
        <v>3.3177646673221872E-2</v>
      </c>
      <c r="R16" s="16">
        <f t="shared" si="35"/>
        <v>2.8620073497184872E-2</v>
      </c>
      <c r="S16" s="16">
        <f t="shared" si="35"/>
        <v>2.9113273665766881E-2</v>
      </c>
      <c r="X16" s="16"/>
      <c r="Y16" s="16"/>
      <c r="Z16" s="16">
        <f t="shared" ref="Z16:AD16" si="36">Z15/Y15-1</f>
        <v>5.0036030354224659E-2</v>
      </c>
      <c r="AA16" s="16">
        <f t="shared" si="36"/>
        <v>0.24675992006851266</v>
      </c>
      <c r="AB16" s="16">
        <f t="shared" si="36"/>
        <v>0.63740440536703757</v>
      </c>
      <c r="AC16" s="16">
        <f t="shared" si="36"/>
        <v>8.216802774359544E-2</v>
      </c>
      <c r="AD16" s="16">
        <f t="shared" si="36"/>
        <v>0.19501731534604838</v>
      </c>
      <c r="AE16" s="16">
        <f t="shared" ref="AE16" si="37">AE15/AD15-1</f>
        <v>0.1586505190311418</v>
      </c>
      <c r="AF16" s="16">
        <f t="shared" ref="AF16:AG16" si="38">AF15/AE15-1</f>
        <v>-0.19714673236772684</v>
      </c>
      <c r="AG16" s="16">
        <f t="shared" si="38"/>
        <v>3.3410543935648462E-2</v>
      </c>
      <c r="AH16" s="16">
        <f t="shared" ref="AH16" si="39">AH15/AG15-1</f>
        <v>4.0984914549299312E-2</v>
      </c>
      <c r="AI16" s="16">
        <f t="shared" ref="AI16" si="40">AI15/AH15-1</f>
        <v>5.1448118629595863E-2</v>
      </c>
      <c r="AJ16" s="16">
        <f t="shared" ref="AJ16" si="41">AJ15/AI15-1</f>
        <v>6.2138807639463112E-2</v>
      </c>
      <c r="AK16" s="16">
        <f t="shared" ref="AK16" si="42">AK15/AJ15-1</f>
        <v>7.2878716085662321E-2</v>
      </c>
      <c r="AL16" s="16">
        <f t="shared" ref="AL16" si="43">AL15/AK15-1</f>
        <v>8.3724546759722518E-2</v>
      </c>
      <c r="AM16" s="16">
        <f t="shared" ref="AM16" si="44">AM15/AL15-1</f>
        <v>8.7433206725863633E-2</v>
      </c>
      <c r="AN16" s="16">
        <f t="shared" ref="AN16" si="45">AN15/AM15-1</f>
        <v>9.1379777067346568E-2</v>
      </c>
      <c r="AO16" s="16">
        <f t="shared" ref="AO16" si="46">AO15/AN15-1</f>
        <v>9.55503084625553E-2</v>
      </c>
      <c r="AP16" s="16">
        <f t="shared" ref="AP16" si="47">AP15/AO15-1</f>
        <v>9.9925121341929879E-2</v>
      </c>
      <c r="AQ16" s="16">
        <f t="shared" ref="AQ16" si="48">AQ15/AP15-1</f>
        <v>0.10447885194474371</v>
      </c>
      <c r="AR16" s="16">
        <f t="shared" ref="AR16" si="49">AR15/AQ15-1</f>
        <v>0.1091808013707376</v>
      </c>
    </row>
    <row r="17" spans="15:38" x14ac:dyDescent="0.45">
      <c r="X17" s="8"/>
      <c r="Y17" s="8"/>
      <c r="Z17" s="8"/>
      <c r="AA17" s="8"/>
      <c r="AB17" s="8"/>
      <c r="AC17" s="8"/>
      <c r="AD17" s="8"/>
      <c r="AE17" s="8"/>
    </row>
    <row r="18" spans="15:38" x14ac:dyDescent="0.45">
      <c r="O18" s="3"/>
      <c r="AF18" s="3"/>
      <c r="AG18" s="3"/>
      <c r="AH18" s="3"/>
      <c r="AI18" s="3"/>
      <c r="AJ18" s="3"/>
      <c r="AK18" s="3"/>
    </row>
    <row r="19" spans="15:38" x14ac:dyDescent="0.45">
      <c r="AF19" s="3"/>
      <c r="AG19" s="3"/>
      <c r="AH19" s="3"/>
      <c r="AI19" s="3"/>
      <c r="AJ19" s="3"/>
      <c r="AK19" s="3"/>
      <c r="AL19" s="3"/>
    </row>
    <row r="20" spans="15:38" x14ac:dyDescent="0.45">
      <c r="AF20" s="25"/>
    </row>
    <row r="21" spans="15:38" x14ac:dyDescent="0.45">
      <c r="AF21" s="8"/>
    </row>
    <row r="22" spans="15:38" x14ac:dyDescent="0.45">
      <c r="AF22" s="27"/>
      <c r="AG22" s="28"/>
      <c r="AH22" s="27"/>
      <c r="AI22" s="27"/>
      <c r="AJ22" s="27"/>
      <c r="AK22" s="27"/>
    </row>
    <row r="23" spans="15:38" x14ac:dyDescent="0.45">
      <c r="AF23" s="3"/>
      <c r="AG23" s="3"/>
      <c r="AH23" s="3"/>
      <c r="AI23" s="3"/>
      <c r="AJ23" s="3"/>
      <c r="AK23" s="3"/>
    </row>
    <row r="25" spans="15:38" x14ac:dyDescent="0.45">
      <c r="AF25" s="3"/>
      <c r="AG25" s="3"/>
      <c r="AH25" s="3"/>
      <c r="AI25" s="3"/>
      <c r="AJ25" s="3"/>
      <c r="AK25" s="3"/>
    </row>
    <row r="28" spans="15:38" x14ac:dyDescent="0.45">
      <c r="AF28" s="26"/>
    </row>
    <row r="29" spans="15:38" x14ac:dyDescent="0.45">
      <c r="AF29" s="25"/>
    </row>
    <row r="30" spans="15:38" x14ac:dyDescent="0.45">
      <c r="AF30" s="3"/>
      <c r="AG30" s="3"/>
      <c r="AH30" s="3"/>
      <c r="AI30" s="3"/>
      <c r="AJ30" s="3"/>
      <c r="AK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Revenue 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Rangwala</dc:creator>
  <cp:lastModifiedBy>Sameer Rangwala</cp:lastModifiedBy>
  <dcterms:created xsi:type="dcterms:W3CDTF">2024-04-08T20:45:57Z</dcterms:created>
  <dcterms:modified xsi:type="dcterms:W3CDTF">2024-06-14T11:49:29Z</dcterms:modified>
</cp:coreProperties>
</file>