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09fdbd93d202da/Desktop/Models/India Equity/"/>
    </mc:Choice>
  </mc:AlternateContent>
  <xr:revisionPtr revIDLastSave="2210" documentId="8_{920CA272-DBE2-4A3B-AD8D-8F390F5B7B47}" xr6:coauthVersionLast="47" xr6:coauthVersionMax="47" xr10:uidLastSave="{500039D0-8778-4C96-9A2E-85ECA1021D02}"/>
  <bookViews>
    <workbookView xWindow="-195" yWindow="-195" windowWidth="29190" windowHeight="16590" activeTab="2" xr2:uid="{6B3608B9-C142-4CC8-AC00-3D29641392E6}"/>
  </bookViews>
  <sheets>
    <sheet name="Main" sheetId="1" r:id="rId1"/>
    <sheet name="Model" sheetId="2" r:id="rId2"/>
    <sheet name="Swiggy IPO" sheetId="3" r:id="rId3"/>
  </sheets>
  <definedNames>
    <definedName name="solver_adj" localSheetId="1" hidden="1">Model!$AP$58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Model!$AP$61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1" i="3"/>
  <c r="F9" i="3"/>
  <c r="F8" i="3" s="1"/>
  <c r="C9" i="3"/>
  <c r="C2" i="3"/>
  <c r="C5" i="3" s="1"/>
  <c r="P110" i="2"/>
  <c r="P112" i="2" s="1"/>
  <c r="P101" i="2"/>
  <c r="P100" i="2"/>
  <c r="P96" i="2"/>
  <c r="P95" i="2"/>
  <c r="P91" i="2"/>
  <c r="P90" i="2"/>
  <c r="P88" i="2"/>
  <c r="P77" i="2"/>
  <c r="P75" i="2"/>
  <c r="P74" i="2"/>
  <c r="P73" i="2"/>
  <c r="P67" i="2"/>
  <c r="P62" i="2"/>
  <c r="P61" i="2"/>
  <c r="P48" i="2"/>
  <c r="P49" i="2"/>
  <c r="P51" i="2"/>
  <c r="P52" i="2"/>
  <c r="P17" i="2"/>
  <c r="P18" i="2"/>
  <c r="P19" i="2"/>
  <c r="P20" i="2"/>
  <c r="AC28" i="2"/>
  <c r="AC23" i="2"/>
  <c r="AC15" i="2"/>
  <c r="AD15" i="2" s="1"/>
  <c r="AE15" i="2" s="1"/>
  <c r="AF15" i="2" s="1"/>
  <c r="AG15" i="2" s="1"/>
  <c r="AH15" i="2" s="1"/>
  <c r="AI15" i="2" s="1"/>
  <c r="AJ15" i="2" s="1"/>
  <c r="AK15" i="2" s="1"/>
  <c r="AL15" i="2" s="1"/>
  <c r="AC12" i="2"/>
  <c r="O110" i="2"/>
  <c r="O112" i="2" s="1"/>
  <c r="O100" i="2"/>
  <c r="O101" i="2"/>
  <c r="O95" i="2"/>
  <c r="O91" i="2"/>
  <c r="O90" i="2"/>
  <c r="O96" i="2"/>
  <c r="O88" i="2"/>
  <c r="O73" i="2"/>
  <c r="O77" i="2"/>
  <c r="O75" i="2"/>
  <c r="O74" i="2"/>
  <c r="O67" i="2"/>
  <c r="O61" i="2"/>
  <c r="O62" i="2"/>
  <c r="O48" i="2"/>
  <c r="O49" i="2"/>
  <c r="O51" i="2"/>
  <c r="O52" i="2"/>
  <c r="O34" i="2"/>
  <c r="O17" i="2"/>
  <c r="O18" i="2"/>
  <c r="O19" i="2"/>
  <c r="O20" i="2"/>
  <c r="O13" i="2"/>
  <c r="O22" i="2" s="1"/>
  <c r="O24" i="2" s="1"/>
  <c r="C6" i="3" l="1"/>
  <c r="F6" i="3" s="1"/>
  <c r="F5" i="3"/>
  <c r="F3" i="3" s="1"/>
  <c r="H3" i="3" s="1"/>
  <c r="F2" i="3"/>
  <c r="P98" i="2"/>
  <c r="P116" i="2" s="1"/>
  <c r="O70" i="2"/>
  <c r="P54" i="2"/>
  <c r="O104" i="2"/>
  <c r="P70" i="2"/>
  <c r="P104" i="2"/>
  <c r="P114" i="2" s="1"/>
  <c r="P79" i="2"/>
  <c r="P81" i="2" s="1"/>
  <c r="O79" i="2"/>
  <c r="O81" i="2" s="1"/>
  <c r="O50" i="2"/>
  <c r="O26" i="2"/>
  <c r="O45" i="2" s="1"/>
  <c r="O47" i="2"/>
  <c r="O98" i="2"/>
  <c r="O116" i="2" s="1"/>
  <c r="C88" i="2"/>
  <c r="C8" i="3" l="1"/>
  <c r="O35" i="2"/>
  <c r="O38" i="2" s="1"/>
  <c r="O40" i="2" s="1"/>
  <c r="O41" i="2" s="1"/>
  <c r="O114" i="2"/>
  <c r="Z51" i="2"/>
  <c r="AA51" i="2"/>
  <c r="Y51" i="2"/>
  <c r="Y49" i="2"/>
  <c r="Z49" i="2"/>
  <c r="AA49" i="2"/>
  <c r="X49" i="2"/>
  <c r="Y48" i="2"/>
  <c r="Z48" i="2"/>
  <c r="AA48" i="2"/>
  <c r="X48" i="2"/>
  <c r="Q29" i="2"/>
  <c r="E48" i="2"/>
  <c r="F48" i="2"/>
  <c r="G48" i="2"/>
  <c r="H48" i="2"/>
  <c r="I48" i="2"/>
  <c r="J48" i="2"/>
  <c r="K48" i="2"/>
  <c r="L48" i="2"/>
  <c r="M48" i="2"/>
  <c r="N48" i="2"/>
  <c r="D48" i="2"/>
  <c r="AD28" i="2"/>
  <c r="AE28" i="2" s="1"/>
  <c r="AF28" i="2" s="1"/>
  <c r="AG28" i="2" s="1"/>
  <c r="AH28" i="2" s="1"/>
  <c r="AI28" i="2" s="1"/>
  <c r="AJ28" i="2" s="1"/>
  <c r="AK28" i="2" s="1"/>
  <c r="AL28" i="2" s="1"/>
  <c r="Q33" i="2"/>
  <c r="G52" i="2"/>
  <c r="H52" i="2"/>
  <c r="I52" i="2"/>
  <c r="J52" i="2"/>
  <c r="K52" i="2"/>
  <c r="L52" i="2"/>
  <c r="M52" i="2"/>
  <c r="N52" i="2"/>
  <c r="F52" i="2"/>
  <c r="Q32" i="2"/>
  <c r="G51" i="2"/>
  <c r="H51" i="2"/>
  <c r="I51" i="2"/>
  <c r="J51" i="2"/>
  <c r="K51" i="2"/>
  <c r="L51" i="2"/>
  <c r="M51" i="2"/>
  <c r="N51" i="2"/>
  <c r="F51" i="2"/>
  <c r="Q30" i="2"/>
  <c r="E49" i="2"/>
  <c r="F49" i="2"/>
  <c r="G49" i="2"/>
  <c r="H49" i="2"/>
  <c r="I49" i="2"/>
  <c r="J49" i="2"/>
  <c r="K49" i="2"/>
  <c r="L49" i="2"/>
  <c r="M49" i="2"/>
  <c r="N49" i="2"/>
  <c r="D49" i="2"/>
  <c r="Q42" i="2"/>
  <c r="R42" i="2" s="1"/>
  <c r="AC42" i="2" s="1"/>
  <c r="AD42" i="2" s="1"/>
  <c r="Q11" i="2"/>
  <c r="R11" i="2"/>
  <c r="Q10" i="2"/>
  <c r="R10" i="2"/>
  <c r="Q9" i="2"/>
  <c r="R9" i="2"/>
  <c r="Q8" i="2"/>
  <c r="R8" i="2"/>
  <c r="Q14" i="2"/>
  <c r="R14" i="2"/>
  <c r="AB15" i="2"/>
  <c r="AB14" i="2"/>
  <c r="AB9" i="2"/>
  <c r="AB10" i="2"/>
  <c r="AB11" i="2"/>
  <c r="AB12" i="2"/>
  <c r="AB8" i="2"/>
  <c r="Z14" i="2"/>
  <c r="Z9" i="2"/>
  <c r="Z10" i="2"/>
  <c r="Z11" i="2"/>
  <c r="Z12" i="2"/>
  <c r="Z8" i="2"/>
  <c r="AA14" i="2"/>
  <c r="AA11" i="2"/>
  <c r="AA12" i="2"/>
  <c r="AA9" i="2"/>
  <c r="AA10" i="2"/>
  <c r="AA8" i="2"/>
  <c r="Y44" i="2"/>
  <c r="Z44" i="2"/>
  <c r="AA44" i="2"/>
  <c r="X44" i="2"/>
  <c r="AB51" i="2"/>
  <c r="AB49" i="2"/>
  <c r="AB48" i="2"/>
  <c r="AB44" i="2"/>
  <c r="W42" i="2"/>
  <c r="X42" i="2"/>
  <c r="X33" i="2"/>
  <c r="X34" i="2" s="1"/>
  <c r="Y42" i="2"/>
  <c r="Y33" i="2"/>
  <c r="Y34" i="2" s="1"/>
  <c r="Z42" i="2"/>
  <c r="Z33" i="2"/>
  <c r="Z34" i="2" s="1"/>
  <c r="W34" i="2"/>
  <c r="Z24" i="2"/>
  <c r="Z26" i="2" s="1"/>
  <c r="Z45" i="2" s="1"/>
  <c r="Y24" i="2"/>
  <c r="Y26" i="2" s="1"/>
  <c r="Y45" i="2" s="1"/>
  <c r="X24" i="2"/>
  <c r="X26" i="2" s="1"/>
  <c r="W24" i="2"/>
  <c r="W26" i="2" s="1"/>
  <c r="AA42" i="2"/>
  <c r="AA39" i="2"/>
  <c r="AA33" i="2"/>
  <c r="AA34" i="2" s="1"/>
  <c r="AA24" i="2"/>
  <c r="AA26" i="2" s="1"/>
  <c r="AC1" i="2"/>
  <c r="AD1" i="2" s="1"/>
  <c r="AE1" i="2" s="1"/>
  <c r="AF1" i="2" s="1"/>
  <c r="AG1" i="2" s="1"/>
  <c r="AH1" i="2" s="1"/>
  <c r="AI1" i="2" s="1"/>
  <c r="AJ1" i="2" s="1"/>
  <c r="AK1" i="2" s="1"/>
  <c r="AL1" i="2" s="1"/>
  <c r="N20" i="2"/>
  <c r="N19" i="2"/>
  <c r="M19" i="2"/>
  <c r="L19" i="2"/>
  <c r="N18" i="2"/>
  <c r="M18" i="2"/>
  <c r="L18" i="2"/>
  <c r="K18" i="2"/>
  <c r="J18" i="2"/>
  <c r="I18" i="2"/>
  <c r="H18" i="2"/>
  <c r="G18" i="2"/>
  <c r="H17" i="2"/>
  <c r="I17" i="2"/>
  <c r="J17" i="2"/>
  <c r="K17" i="2"/>
  <c r="L17" i="2"/>
  <c r="M17" i="2"/>
  <c r="N17" i="2"/>
  <c r="G17" i="2"/>
  <c r="D13" i="2"/>
  <c r="C13" i="2"/>
  <c r="F13" i="2"/>
  <c r="G13" i="2"/>
  <c r="H13" i="2"/>
  <c r="I13" i="2"/>
  <c r="E13" i="2"/>
  <c r="K13" i="2"/>
  <c r="L13" i="2"/>
  <c r="M13" i="2"/>
  <c r="N13" i="2"/>
  <c r="J13" i="2"/>
  <c r="H110" i="2"/>
  <c r="H112" i="2" s="1"/>
  <c r="H101" i="2"/>
  <c r="H104" i="2" s="1"/>
  <c r="H96" i="2"/>
  <c r="H95" i="2"/>
  <c r="H94" i="2"/>
  <c r="H91" i="2"/>
  <c r="H90" i="2"/>
  <c r="K110" i="2"/>
  <c r="K112" i="2" s="1"/>
  <c r="K101" i="2"/>
  <c r="K100" i="2"/>
  <c r="K96" i="2"/>
  <c r="K95" i="2"/>
  <c r="K94" i="2"/>
  <c r="K91" i="2"/>
  <c r="K90" i="2"/>
  <c r="L110" i="2"/>
  <c r="L112" i="2" s="1"/>
  <c r="L101" i="2"/>
  <c r="L100" i="2"/>
  <c r="L96" i="2"/>
  <c r="L94" i="2"/>
  <c r="L91" i="2"/>
  <c r="L90" i="2"/>
  <c r="J110" i="2"/>
  <c r="J112" i="2" s="1"/>
  <c r="J101" i="2"/>
  <c r="J100" i="2"/>
  <c r="J96" i="2"/>
  <c r="J95" i="2"/>
  <c r="J94" i="2"/>
  <c r="J91" i="2"/>
  <c r="J90" i="2"/>
  <c r="M110" i="2"/>
  <c r="M109" i="2"/>
  <c r="M101" i="2"/>
  <c r="M100" i="2"/>
  <c r="M95" i="2"/>
  <c r="M96" i="2"/>
  <c r="M94" i="2"/>
  <c r="M91" i="2"/>
  <c r="M90" i="2"/>
  <c r="M89" i="2"/>
  <c r="M88" i="2"/>
  <c r="L88" i="2"/>
  <c r="K88" i="2"/>
  <c r="J88" i="2"/>
  <c r="H88" i="2"/>
  <c r="G88" i="2"/>
  <c r="G98" i="2" s="1"/>
  <c r="F88" i="2"/>
  <c r="F98" i="2" s="1"/>
  <c r="E88" i="2"/>
  <c r="E98" i="2" s="1"/>
  <c r="D88" i="2"/>
  <c r="D98" i="2" s="1"/>
  <c r="C98" i="2"/>
  <c r="I112" i="2"/>
  <c r="G112" i="2"/>
  <c r="F112" i="2"/>
  <c r="E112" i="2"/>
  <c r="D112" i="2"/>
  <c r="C112" i="2"/>
  <c r="I104" i="2"/>
  <c r="G104" i="2"/>
  <c r="F104" i="2"/>
  <c r="E104" i="2"/>
  <c r="D104" i="2"/>
  <c r="C104" i="2"/>
  <c r="N110" i="2"/>
  <c r="N109" i="2"/>
  <c r="N103" i="2"/>
  <c r="N101" i="2"/>
  <c r="N100" i="2"/>
  <c r="N96" i="2"/>
  <c r="N95" i="2"/>
  <c r="N94" i="2"/>
  <c r="N91" i="2"/>
  <c r="N90" i="2"/>
  <c r="N88" i="2"/>
  <c r="N77" i="2"/>
  <c r="N75" i="2"/>
  <c r="N74" i="2"/>
  <c r="N73" i="2"/>
  <c r="N67" i="2"/>
  <c r="N62" i="2"/>
  <c r="N61" i="2"/>
  <c r="R1" i="2"/>
  <c r="C34" i="2"/>
  <c r="D24" i="2"/>
  <c r="D26" i="2" s="1"/>
  <c r="D45" i="2" s="1"/>
  <c r="D34" i="2"/>
  <c r="E24" i="2"/>
  <c r="E26" i="2" s="1"/>
  <c r="E45" i="2" s="1"/>
  <c r="F24" i="2"/>
  <c r="F26" i="2" s="1"/>
  <c r="F45" i="2" s="1"/>
  <c r="G24" i="2"/>
  <c r="G26" i="2" s="1"/>
  <c r="G45" i="2" s="1"/>
  <c r="E34" i="2"/>
  <c r="F34" i="2"/>
  <c r="G34" i="2"/>
  <c r="I39" i="2"/>
  <c r="I88" i="2" s="1"/>
  <c r="I98" i="2" s="1"/>
  <c r="H24" i="2"/>
  <c r="H26" i="2" s="1"/>
  <c r="H45" i="2" s="1"/>
  <c r="I24" i="2"/>
  <c r="I26" i="2" s="1"/>
  <c r="I45" i="2" s="1"/>
  <c r="H34" i="2"/>
  <c r="I34" i="2"/>
  <c r="L34" i="2"/>
  <c r="K34" i="2"/>
  <c r="J34" i="2"/>
  <c r="L24" i="2"/>
  <c r="L26" i="2" s="1"/>
  <c r="L45" i="2" s="1"/>
  <c r="K24" i="2"/>
  <c r="J24" i="2"/>
  <c r="J26" i="2" s="1"/>
  <c r="J45" i="2" s="1"/>
  <c r="C24" i="2"/>
  <c r="C26" i="2" s="1"/>
  <c r="C45" i="2" s="1"/>
  <c r="M34" i="2"/>
  <c r="M24" i="2"/>
  <c r="M26" i="2" s="1"/>
  <c r="M45" i="2" s="1"/>
  <c r="N34" i="2"/>
  <c r="N24" i="2"/>
  <c r="N26" i="2" s="1"/>
  <c r="N45" i="2" s="1"/>
  <c r="O84" i="2" l="1"/>
  <c r="AC8" i="2"/>
  <c r="AC9" i="2"/>
  <c r="Z50" i="2"/>
  <c r="AC14" i="2"/>
  <c r="AD14" i="2" s="1"/>
  <c r="AE14" i="2" s="1"/>
  <c r="AF14" i="2" s="1"/>
  <c r="AG14" i="2" s="1"/>
  <c r="AH14" i="2" s="1"/>
  <c r="AI14" i="2" s="1"/>
  <c r="AJ14" i="2" s="1"/>
  <c r="AK14" i="2" s="1"/>
  <c r="AL14" i="2" s="1"/>
  <c r="AC11" i="2"/>
  <c r="AC10" i="2"/>
  <c r="AC19" i="2" s="1"/>
  <c r="R33" i="2"/>
  <c r="AC33" i="2" s="1"/>
  <c r="AC52" i="2" s="1"/>
  <c r="R32" i="2"/>
  <c r="AC32" i="2" s="1"/>
  <c r="R30" i="2"/>
  <c r="AC30" i="2" s="1"/>
  <c r="R29" i="2"/>
  <c r="AC29" i="2" s="1"/>
  <c r="Y50" i="2"/>
  <c r="K26" i="2"/>
  <c r="K45" i="2" s="1"/>
  <c r="O44" i="2"/>
  <c r="X50" i="2"/>
  <c r="AB52" i="2"/>
  <c r="N47" i="2"/>
  <c r="M47" i="2"/>
  <c r="L47" i="2"/>
  <c r="K47" i="2"/>
  <c r="J47" i="2"/>
  <c r="I47" i="2"/>
  <c r="H47" i="2"/>
  <c r="Z52" i="2"/>
  <c r="G47" i="2"/>
  <c r="F47" i="2"/>
  <c r="AA52" i="2"/>
  <c r="Z47" i="2"/>
  <c r="W50" i="2"/>
  <c r="AA47" i="2"/>
  <c r="AA50" i="2"/>
  <c r="E47" i="2"/>
  <c r="AB20" i="2"/>
  <c r="I50" i="2"/>
  <c r="K50" i="2"/>
  <c r="J50" i="2"/>
  <c r="H50" i="2"/>
  <c r="G50" i="2"/>
  <c r="F50" i="2"/>
  <c r="E50" i="2"/>
  <c r="D50" i="2"/>
  <c r="C50" i="2"/>
  <c r="N50" i="2"/>
  <c r="M50" i="2"/>
  <c r="L50" i="2"/>
  <c r="AB17" i="2"/>
  <c r="AB19" i="2"/>
  <c r="AB18" i="2"/>
  <c r="AD9" i="2"/>
  <c r="AE9" i="2" s="1"/>
  <c r="AF9" i="2" s="1"/>
  <c r="AG9" i="2" s="1"/>
  <c r="AH9" i="2" s="1"/>
  <c r="AI9" i="2" s="1"/>
  <c r="AJ9" i="2" s="1"/>
  <c r="Z13" i="2"/>
  <c r="AA13" i="2"/>
  <c r="AB24" i="2"/>
  <c r="AA45" i="2"/>
  <c r="AA35" i="2"/>
  <c r="AA38" i="2" s="1"/>
  <c r="AA40" i="2" s="1"/>
  <c r="AA41" i="2" s="1"/>
  <c r="AE42" i="2"/>
  <c r="AF42" i="2" s="1"/>
  <c r="AA17" i="2"/>
  <c r="AA18" i="2"/>
  <c r="AB34" i="2"/>
  <c r="AB13" i="2"/>
  <c r="R13" i="2"/>
  <c r="R22" i="2" s="1"/>
  <c r="R24" i="2" s="1"/>
  <c r="R27" i="2" s="1"/>
  <c r="Q13" i="2"/>
  <c r="Q22" i="2" s="1"/>
  <c r="Q24" i="2" s="1"/>
  <c r="Q27" i="2" s="1"/>
  <c r="P13" i="2"/>
  <c r="P22" i="2" s="1"/>
  <c r="P24" i="2" s="1"/>
  <c r="W35" i="2"/>
  <c r="W38" i="2" s="1"/>
  <c r="W40" i="2" s="1"/>
  <c r="W41" i="2" s="1"/>
  <c r="X35" i="2"/>
  <c r="X38" i="2" s="1"/>
  <c r="X40" i="2" s="1"/>
  <c r="X41" i="2" s="1"/>
  <c r="Y35" i="2"/>
  <c r="Y38" i="2" s="1"/>
  <c r="Y40" i="2" s="1"/>
  <c r="Y41" i="2" s="1"/>
  <c r="Z35" i="2"/>
  <c r="Z38" i="2" s="1"/>
  <c r="Z40" i="2" s="1"/>
  <c r="Z41" i="2" s="1"/>
  <c r="K104" i="2"/>
  <c r="L104" i="2"/>
  <c r="J104" i="2"/>
  <c r="M104" i="2"/>
  <c r="H98" i="2"/>
  <c r="H116" i="2" s="1"/>
  <c r="N112" i="2"/>
  <c r="M112" i="2"/>
  <c r="K98" i="2"/>
  <c r="K116" i="2" s="1"/>
  <c r="L98" i="2"/>
  <c r="L116" i="2" s="1"/>
  <c r="N104" i="2"/>
  <c r="J98" i="2"/>
  <c r="J116" i="2" s="1"/>
  <c r="M98" i="2"/>
  <c r="M116" i="2" s="1"/>
  <c r="N98" i="2"/>
  <c r="N116" i="2" s="1"/>
  <c r="N70" i="2"/>
  <c r="N79" i="2"/>
  <c r="N81" i="2" s="1"/>
  <c r="H44" i="2"/>
  <c r="M44" i="2"/>
  <c r="L44" i="2"/>
  <c r="G44" i="2"/>
  <c r="K44" i="2"/>
  <c r="N44" i="2"/>
  <c r="J44" i="2"/>
  <c r="I44" i="2"/>
  <c r="D35" i="2"/>
  <c r="C35" i="2"/>
  <c r="F35" i="2"/>
  <c r="G35" i="2"/>
  <c r="E35" i="2"/>
  <c r="I35" i="2"/>
  <c r="H35" i="2"/>
  <c r="N35" i="2"/>
  <c r="K35" i="2"/>
  <c r="L35" i="2"/>
  <c r="J35" i="2"/>
  <c r="M35" i="2"/>
  <c r="P44" i="2" l="1"/>
  <c r="P26" i="2"/>
  <c r="P45" i="2" s="1"/>
  <c r="P47" i="2"/>
  <c r="P50" i="2"/>
  <c r="AC27" i="2"/>
  <c r="AC22" i="2"/>
  <c r="AD33" i="2"/>
  <c r="AE33" i="2" s="1"/>
  <c r="AF33" i="2" s="1"/>
  <c r="AG33" i="2" s="1"/>
  <c r="AH33" i="2" s="1"/>
  <c r="AI33" i="2" s="1"/>
  <c r="AJ33" i="2" s="1"/>
  <c r="AK33" i="2" s="1"/>
  <c r="AL33" i="2" s="1"/>
  <c r="AK9" i="2"/>
  <c r="AL9" i="2" s="1"/>
  <c r="AC51" i="2"/>
  <c r="AD32" i="2"/>
  <c r="AE32" i="2" s="1"/>
  <c r="AF32" i="2" s="1"/>
  <c r="AG32" i="2" s="1"/>
  <c r="AH32" i="2" s="1"/>
  <c r="AI32" i="2" s="1"/>
  <c r="AJ32" i="2" s="1"/>
  <c r="AK32" i="2" s="1"/>
  <c r="AL32" i="2" s="1"/>
  <c r="AB26" i="2"/>
  <c r="AB45" i="2" s="1"/>
  <c r="AB47" i="2"/>
  <c r="AB50" i="2"/>
  <c r="AC49" i="2"/>
  <c r="AD30" i="2"/>
  <c r="AE30" i="2" s="1"/>
  <c r="AF30" i="2" s="1"/>
  <c r="AG30" i="2" s="1"/>
  <c r="AH30" i="2" s="1"/>
  <c r="AI30" i="2" s="1"/>
  <c r="AJ30" i="2" s="1"/>
  <c r="AK30" i="2" s="1"/>
  <c r="AL30" i="2" s="1"/>
  <c r="AD10" i="2"/>
  <c r="AE10" i="2" s="1"/>
  <c r="AF10" i="2" s="1"/>
  <c r="AG10" i="2" s="1"/>
  <c r="AH10" i="2" s="1"/>
  <c r="AI10" i="2" s="1"/>
  <c r="AJ10" i="2" s="1"/>
  <c r="AK10" i="2" s="1"/>
  <c r="AL10" i="2" s="1"/>
  <c r="AC18" i="2"/>
  <c r="AC20" i="2"/>
  <c r="AD11" i="2"/>
  <c r="AE11" i="2" s="1"/>
  <c r="AF11" i="2" s="1"/>
  <c r="AG11" i="2" s="1"/>
  <c r="AH11" i="2" s="1"/>
  <c r="AI11" i="2" s="1"/>
  <c r="AJ11" i="2" s="1"/>
  <c r="AK11" i="2" s="1"/>
  <c r="AL11" i="2" s="1"/>
  <c r="AD8" i="2"/>
  <c r="AC17" i="2"/>
  <c r="AC13" i="2"/>
  <c r="H114" i="2"/>
  <c r="N114" i="2"/>
  <c r="Q26" i="2"/>
  <c r="Q31" i="2" s="1"/>
  <c r="Q34" i="2" s="1"/>
  <c r="Q44" i="2"/>
  <c r="R26" i="2"/>
  <c r="R31" i="2" s="1"/>
  <c r="R34" i="2" s="1"/>
  <c r="R44" i="2"/>
  <c r="AG42" i="2"/>
  <c r="L114" i="2"/>
  <c r="K114" i="2"/>
  <c r="J114" i="2"/>
  <c r="M114" i="2"/>
  <c r="C38" i="2"/>
  <c r="C40" i="2" s="1"/>
  <c r="D38" i="2"/>
  <c r="D40" i="2" s="1"/>
  <c r="M38" i="2"/>
  <c r="M40" i="2" s="1"/>
  <c r="J38" i="2"/>
  <c r="J40" i="2" s="1"/>
  <c r="F38" i="2"/>
  <c r="F40" i="2" s="1"/>
  <c r="F84" i="2" s="1"/>
  <c r="H38" i="2"/>
  <c r="H40" i="2" s="1"/>
  <c r="I38" i="2"/>
  <c r="I40" i="2" s="1"/>
  <c r="G38" i="2"/>
  <c r="G40" i="2" s="1"/>
  <c r="L38" i="2"/>
  <c r="L40" i="2" s="1"/>
  <c r="N38" i="2"/>
  <c r="N40" i="2" s="1"/>
  <c r="E38" i="2"/>
  <c r="E40" i="2" s="1"/>
  <c r="K38" i="2"/>
  <c r="K40" i="2" s="1"/>
  <c r="AC26" i="2" l="1"/>
  <c r="AB35" i="2"/>
  <c r="AB38" i="2" s="1"/>
  <c r="AB40" i="2" s="1"/>
  <c r="AB41" i="2" s="1"/>
  <c r="AD29" i="2"/>
  <c r="AE29" i="2" s="1"/>
  <c r="AF29" i="2" s="1"/>
  <c r="AG29" i="2" s="1"/>
  <c r="AH29" i="2" s="1"/>
  <c r="AI29" i="2" s="1"/>
  <c r="AJ29" i="2" s="1"/>
  <c r="AK29" i="2" s="1"/>
  <c r="AL29" i="2" s="1"/>
  <c r="AC48" i="2"/>
  <c r="AE8" i="2"/>
  <c r="AD13" i="2"/>
  <c r="AD22" i="2" s="1"/>
  <c r="Q35" i="2"/>
  <c r="Q38" i="2" s="1"/>
  <c r="R35" i="2"/>
  <c r="R38" i="2" s="1"/>
  <c r="AC44" i="2"/>
  <c r="AC24" i="2"/>
  <c r="AH42" i="2"/>
  <c r="D41" i="2"/>
  <c r="D84" i="2"/>
  <c r="C41" i="2"/>
  <c r="C84" i="2"/>
  <c r="L41" i="2"/>
  <c r="L84" i="2"/>
  <c r="I41" i="2"/>
  <c r="I84" i="2"/>
  <c r="J41" i="2"/>
  <c r="J84" i="2"/>
  <c r="K41" i="2"/>
  <c r="K84" i="2"/>
  <c r="G41" i="2"/>
  <c r="G84" i="2"/>
  <c r="M41" i="2"/>
  <c r="M84" i="2"/>
  <c r="E41" i="2"/>
  <c r="E84" i="2"/>
  <c r="H41" i="2"/>
  <c r="H84" i="2"/>
  <c r="N41" i="2"/>
  <c r="N84" i="2"/>
  <c r="F41" i="2"/>
  <c r="AC47" i="2" l="1"/>
  <c r="AC25" i="2"/>
  <c r="P34" i="2"/>
  <c r="AC31" i="2"/>
  <c r="AC50" i="2" s="1"/>
  <c r="AD44" i="2"/>
  <c r="AF8" i="2"/>
  <c r="AE13" i="2"/>
  <c r="AE22" i="2" s="1"/>
  <c r="AC45" i="2"/>
  <c r="Q39" i="2"/>
  <c r="Q40" i="2" s="1"/>
  <c r="Q41" i="2" s="1"/>
  <c r="R39" i="2"/>
  <c r="R40" i="2" s="1"/>
  <c r="R41" i="2" s="1"/>
  <c r="AI42" i="2"/>
  <c r="P35" i="2" l="1"/>
  <c r="P38" i="2" s="1"/>
  <c r="AC34" i="2"/>
  <c r="AC35" i="2" s="1"/>
  <c r="AC38" i="2" s="1"/>
  <c r="AE44" i="2"/>
  <c r="AG8" i="2"/>
  <c r="AF13" i="2"/>
  <c r="AF22" i="2" s="1"/>
  <c r="AF44" i="2" s="1"/>
  <c r="AJ42" i="2"/>
  <c r="AC39" i="2" l="1"/>
  <c r="AC40" i="2" s="1"/>
  <c r="P40" i="2"/>
  <c r="AH8" i="2"/>
  <c r="AG13" i="2"/>
  <c r="AG22" i="2" s="1"/>
  <c r="AG44" i="2" s="1"/>
  <c r="AK42" i="2"/>
  <c r="P41" i="2" l="1"/>
  <c r="P84" i="2"/>
  <c r="AE46" i="2"/>
  <c r="AF46" i="2" s="1"/>
  <c r="AG46" i="2" s="1"/>
  <c r="AH46" i="2" s="1"/>
  <c r="AI46" i="2" s="1"/>
  <c r="AJ46" i="2" s="1"/>
  <c r="AK46" i="2" s="1"/>
  <c r="AL46" i="2" s="1"/>
  <c r="Q54" i="2"/>
  <c r="R54" i="2" s="1"/>
  <c r="AC54" i="2" s="1"/>
  <c r="AI8" i="2"/>
  <c r="AH13" i="2"/>
  <c r="AH22" i="2" s="1"/>
  <c r="AH44" i="2" s="1"/>
  <c r="AC41" i="2"/>
  <c r="AL42" i="2"/>
  <c r="AD24" i="2" l="1"/>
  <c r="AI13" i="2"/>
  <c r="AI22" i="2" s="1"/>
  <c r="AI44" i="2" s="1"/>
  <c r="AJ8" i="2"/>
  <c r="AD31" i="2" l="1"/>
  <c r="AJ13" i="2"/>
  <c r="AJ22" i="2" s="1"/>
  <c r="AJ44" i="2" s="1"/>
  <c r="AK8" i="2"/>
  <c r="AD26" i="2"/>
  <c r="AD27" i="2" s="1"/>
  <c r="AD34" i="2" l="1"/>
  <c r="AD35" i="2" s="1"/>
  <c r="AD38" i="2" s="1"/>
  <c r="AD39" i="2" s="1"/>
  <c r="AD25" i="2"/>
  <c r="AL8" i="2"/>
  <c r="AK13" i="2"/>
  <c r="AK22" i="2" s="1"/>
  <c r="AK44" i="2" s="1"/>
  <c r="AD40" i="2" l="1"/>
  <c r="AL13" i="2"/>
  <c r="AL22" i="2" s="1"/>
  <c r="AL44" i="2" s="1"/>
  <c r="AD54" i="2" l="1"/>
  <c r="AE23" i="2" s="1"/>
  <c r="AE24" i="2" s="1"/>
  <c r="AD41" i="2"/>
  <c r="AE31" i="2" l="1"/>
  <c r="AE26" i="2"/>
  <c r="AE25" i="2" s="1"/>
  <c r="AE27" i="2" l="1"/>
  <c r="AE34" i="2" s="1"/>
  <c r="AE35" i="2" s="1"/>
  <c r="AE38" i="2" s="1"/>
  <c r="AE39" i="2" s="1"/>
  <c r="AE40" i="2" s="1"/>
  <c r="AE41" i="2" l="1"/>
  <c r="AE54" i="2"/>
  <c r="AF23" i="2" l="1"/>
  <c r="AF24" i="2" s="1"/>
  <c r="AF31" i="2" l="1"/>
  <c r="AF26" i="2"/>
  <c r="AF25" i="2" s="1"/>
  <c r="AF27" i="2" l="1"/>
  <c r="AF34" i="2" s="1"/>
  <c r="AF35" i="2" s="1"/>
  <c r="AF38" i="2" s="1"/>
  <c r="AF39" i="2" s="1"/>
  <c r="AF40" i="2" s="1"/>
  <c r="AF41" i="2" l="1"/>
  <c r="AF54" i="2"/>
  <c r="AG23" i="2" l="1"/>
  <c r="AG24" i="2" s="1"/>
  <c r="AG31" i="2" l="1"/>
  <c r="AG26" i="2"/>
  <c r="AG27" i="2" s="1"/>
  <c r="AG34" i="2" l="1"/>
  <c r="AG35" i="2" s="1"/>
  <c r="AG38" i="2" s="1"/>
  <c r="AG25" i="2"/>
  <c r="AG39" i="2" l="1"/>
  <c r="AG40" i="2" s="1"/>
  <c r="AG41" i="2" l="1"/>
  <c r="AG54" i="2"/>
  <c r="AH23" i="2" l="1"/>
  <c r="AH24" i="2" s="1"/>
  <c r="AH31" i="2" l="1"/>
  <c r="AH26" i="2"/>
  <c r="AH27" i="2" s="1"/>
  <c r="AH34" i="2" l="1"/>
  <c r="AH35" i="2" s="1"/>
  <c r="AH38" i="2" s="1"/>
  <c r="AH39" i="2" s="1"/>
  <c r="AH40" i="2" s="1"/>
  <c r="AH25" i="2"/>
  <c r="AH41" i="2" l="1"/>
  <c r="AH54" i="2"/>
  <c r="AI23" i="2" l="1"/>
  <c r="AI24" i="2" s="1"/>
  <c r="AI31" i="2" l="1"/>
  <c r="AI26" i="2"/>
  <c r="AI27" i="2" s="1"/>
  <c r="AI34" i="2" l="1"/>
  <c r="AI35" i="2" s="1"/>
  <c r="AI38" i="2" s="1"/>
  <c r="AI25" i="2"/>
  <c r="AI39" i="2" l="1"/>
  <c r="AI40" i="2" s="1"/>
  <c r="AI41" i="2" l="1"/>
  <c r="AI54" i="2"/>
  <c r="AJ23" i="2" l="1"/>
  <c r="AJ24" i="2" s="1"/>
  <c r="AJ31" i="2" l="1"/>
  <c r="AJ26" i="2"/>
  <c r="AJ25" i="2" s="1"/>
  <c r="I6" i="1"/>
  <c r="I9" i="1" s="1"/>
  <c r="AJ27" i="2" l="1"/>
  <c r="AJ34" i="2" s="1"/>
  <c r="AJ35" i="2" s="1"/>
  <c r="AJ38" i="2" s="1"/>
  <c r="AJ39" i="2" s="1"/>
  <c r="AJ40" i="2" s="1"/>
  <c r="AJ41" i="2" l="1"/>
  <c r="AJ54" i="2"/>
  <c r="AK23" i="2" l="1"/>
  <c r="AK24" i="2" s="1"/>
  <c r="AK31" i="2" l="1"/>
  <c r="AK26" i="2"/>
  <c r="AK25" i="2" s="1"/>
  <c r="AK27" i="2" l="1"/>
  <c r="AK34" i="2" s="1"/>
  <c r="AK35" i="2" s="1"/>
  <c r="AK38" i="2" s="1"/>
  <c r="AK39" i="2" s="1"/>
  <c r="AK40" i="2" s="1"/>
  <c r="AK41" i="2" l="1"/>
  <c r="AK54" i="2"/>
  <c r="AL23" i="2" s="1"/>
  <c r="AL24" i="2" s="1"/>
  <c r="AL31" i="2" l="1"/>
  <c r="AL26" i="2"/>
  <c r="AL27" i="2" s="1"/>
  <c r="AL34" i="2" l="1"/>
  <c r="AL35" i="2" s="1"/>
  <c r="AL38" i="2" s="1"/>
  <c r="AL39" i="2" s="1"/>
  <c r="AL40" i="2" s="1"/>
  <c r="AM40" i="2" s="1"/>
  <c r="AL25" i="2"/>
  <c r="AL41" i="2" l="1"/>
  <c r="AL54" i="2"/>
  <c r="AN40" i="2" l="1"/>
  <c r="AO40" i="2" l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BU40" i="2" s="1"/>
  <c r="BV40" i="2" s="1"/>
  <c r="BW40" i="2" s="1"/>
  <c r="BX40" i="2" s="1"/>
  <c r="BY40" i="2" s="1"/>
  <c r="BZ40" i="2" s="1"/>
  <c r="CA40" i="2" s="1"/>
  <c r="CB40" i="2" s="1"/>
  <c r="CC40" i="2" s="1"/>
  <c r="CD40" i="2" s="1"/>
  <c r="CE40" i="2" s="1"/>
  <c r="CF40" i="2" s="1"/>
  <c r="CG40" i="2" s="1"/>
  <c r="CH40" i="2" s="1"/>
  <c r="CI40" i="2" s="1"/>
  <c r="CJ40" i="2" s="1"/>
  <c r="CK40" i="2" s="1"/>
  <c r="CL40" i="2" s="1"/>
  <c r="CM40" i="2" s="1"/>
  <c r="CN40" i="2" s="1"/>
  <c r="CO40" i="2" s="1"/>
  <c r="CP40" i="2" s="1"/>
  <c r="CQ40" i="2" s="1"/>
  <c r="CR40" i="2" s="1"/>
  <c r="CS40" i="2" s="1"/>
  <c r="CT40" i="2" s="1"/>
  <c r="CU40" i="2" s="1"/>
  <c r="CV40" i="2" s="1"/>
  <c r="CW40" i="2" s="1"/>
  <c r="CX40" i="2" s="1"/>
  <c r="CY40" i="2" s="1"/>
  <c r="CZ40" i="2" s="1"/>
  <c r="DA40" i="2" s="1"/>
  <c r="DB40" i="2" s="1"/>
  <c r="DC40" i="2" s="1"/>
  <c r="DD40" i="2" s="1"/>
  <c r="DE40" i="2" s="1"/>
  <c r="DF40" i="2" s="1"/>
  <c r="DG40" i="2" s="1"/>
  <c r="DH40" i="2" s="1"/>
  <c r="DI40" i="2" s="1"/>
  <c r="DJ40" i="2" s="1"/>
  <c r="DK40" i="2" s="1"/>
  <c r="DL40" i="2" s="1"/>
  <c r="DM40" i="2" s="1"/>
  <c r="DN40" i="2" s="1"/>
  <c r="DO40" i="2" s="1"/>
  <c r="DP40" i="2" s="1"/>
  <c r="DQ40" i="2" s="1"/>
  <c r="DR40" i="2" s="1"/>
  <c r="DS40" i="2" s="1"/>
  <c r="DT40" i="2" s="1"/>
  <c r="DU40" i="2" s="1"/>
  <c r="DV40" i="2" s="1"/>
  <c r="DW40" i="2" s="1"/>
  <c r="DX40" i="2" s="1"/>
  <c r="DY40" i="2" s="1"/>
  <c r="DZ40" i="2" s="1"/>
  <c r="EA40" i="2" s="1"/>
  <c r="EB40" i="2" s="1"/>
  <c r="EC40" i="2" s="1"/>
  <c r="ED40" i="2" s="1"/>
  <c r="EE40" i="2" s="1"/>
  <c r="EF40" i="2" s="1"/>
  <c r="EG40" i="2" s="1"/>
  <c r="EH40" i="2" s="1"/>
  <c r="EI40" i="2" s="1"/>
  <c r="EJ40" i="2" s="1"/>
  <c r="EK40" i="2" s="1"/>
  <c r="EL40" i="2" s="1"/>
  <c r="EM40" i="2" s="1"/>
  <c r="EN40" i="2" s="1"/>
  <c r="EO40" i="2" s="1"/>
  <c r="EP40" i="2" s="1"/>
  <c r="EQ40" i="2" s="1"/>
  <c r="ER40" i="2" s="1"/>
  <c r="ES40" i="2" s="1"/>
  <c r="ET40" i="2" s="1"/>
  <c r="EU40" i="2" s="1"/>
  <c r="EV40" i="2" s="1"/>
  <c r="EW40" i="2" s="1"/>
  <c r="EX40" i="2" s="1"/>
  <c r="EY40" i="2" s="1"/>
  <c r="EZ40" i="2" s="1"/>
  <c r="FA40" i="2" s="1"/>
  <c r="FB40" i="2" s="1"/>
  <c r="FC40" i="2" s="1"/>
  <c r="FD40" i="2" s="1"/>
  <c r="FE40" i="2" s="1"/>
  <c r="FF40" i="2" s="1"/>
  <c r="FG40" i="2" s="1"/>
  <c r="FH40" i="2" s="1"/>
  <c r="FI40" i="2" s="1"/>
  <c r="FJ40" i="2" s="1"/>
  <c r="FK40" i="2" s="1"/>
  <c r="FL40" i="2" s="1"/>
  <c r="FM40" i="2" s="1"/>
  <c r="FN40" i="2" s="1"/>
  <c r="FO40" i="2" s="1"/>
  <c r="FP40" i="2" s="1"/>
  <c r="FQ40" i="2" s="1"/>
  <c r="FR40" i="2" s="1"/>
  <c r="FS40" i="2" s="1"/>
  <c r="FT40" i="2" s="1"/>
  <c r="FU40" i="2" s="1"/>
  <c r="FV40" i="2" s="1"/>
  <c r="FW40" i="2" s="1"/>
  <c r="FX40" i="2" s="1"/>
  <c r="FY40" i="2" s="1"/>
  <c r="FZ40" i="2" s="1"/>
  <c r="GA40" i="2" s="1"/>
  <c r="GB40" i="2" s="1"/>
  <c r="GC40" i="2" s="1"/>
  <c r="GD40" i="2" s="1"/>
  <c r="GE40" i="2" s="1"/>
  <c r="GF40" i="2" s="1"/>
  <c r="GG40" i="2" s="1"/>
  <c r="GH40" i="2" s="1"/>
  <c r="GI40" i="2" s="1"/>
  <c r="GJ40" i="2" s="1"/>
  <c r="GK40" i="2" s="1"/>
  <c r="GL40" i="2" s="1"/>
  <c r="GM40" i="2" s="1"/>
  <c r="GN40" i="2" s="1"/>
  <c r="GO40" i="2" s="1"/>
  <c r="GP40" i="2" s="1"/>
  <c r="GQ40" i="2" s="1"/>
  <c r="GR40" i="2" s="1"/>
  <c r="GS40" i="2" s="1"/>
  <c r="GT40" i="2" s="1"/>
  <c r="GU40" i="2" s="1"/>
  <c r="GV40" i="2" s="1"/>
  <c r="GW40" i="2" s="1"/>
  <c r="GX40" i="2" s="1"/>
  <c r="GY40" i="2" s="1"/>
  <c r="GZ40" i="2" s="1"/>
  <c r="HA40" i="2" s="1"/>
  <c r="AP59" i="2" l="1"/>
  <c r="AP60" i="2" s="1"/>
  <c r="AP61" i="2" s="1"/>
</calcChain>
</file>

<file path=xl/sharedStrings.xml><?xml version="1.0" encoding="utf-8"?>
<sst xmlns="http://schemas.openxmlformats.org/spreadsheetml/2006/main" count="174" uniqueCount="158">
  <si>
    <t>ZOMATO</t>
  </si>
  <si>
    <t>Management</t>
  </si>
  <si>
    <t>Notes</t>
  </si>
  <si>
    <t>Price</t>
  </si>
  <si>
    <t>Shares</t>
  </si>
  <si>
    <t>Cash</t>
  </si>
  <si>
    <t>Debt</t>
  </si>
  <si>
    <t>Market Cap</t>
  </si>
  <si>
    <t>EV</t>
  </si>
  <si>
    <t>Cr</t>
  </si>
  <si>
    <t>MD/CEO</t>
  </si>
  <si>
    <t>Deepinder Goyal</t>
  </si>
  <si>
    <t>Chairman</t>
  </si>
  <si>
    <t>Kaushik Dutta</t>
  </si>
  <si>
    <t>NED</t>
  </si>
  <si>
    <t>Sanjeev Bikhchandani</t>
  </si>
  <si>
    <t>Operating Revenue</t>
  </si>
  <si>
    <t>Other</t>
  </si>
  <si>
    <t>Revenue</t>
  </si>
  <si>
    <t>Stock Intrade</t>
  </si>
  <si>
    <t>del Inventory</t>
  </si>
  <si>
    <t>EBE</t>
  </si>
  <si>
    <t>FC</t>
  </si>
  <si>
    <t>D&amp;A</t>
  </si>
  <si>
    <t>Advertisment</t>
  </si>
  <si>
    <t>OpEx</t>
  </si>
  <si>
    <t>OpInc</t>
  </si>
  <si>
    <t>JV</t>
  </si>
  <si>
    <t>Exceptional</t>
  </si>
  <si>
    <t>Pretax Income</t>
  </si>
  <si>
    <t>Taxes</t>
  </si>
  <si>
    <t>Net Income</t>
  </si>
  <si>
    <t>EPS</t>
  </si>
  <si>
    <t>Delivery Charges</t>
  </si>
  <si>
    <t>Gross Profit</t>
  </si>
  <si>
    <t>Q424</t>
  </si>
  <si>
    <t>Q324</t>
  </si>
  <si>
    <t>Q423</t>
  </si>
  <si>
    <t>Q222</t>
  </si>
  <si>
    <t>Q224</t>
  </si>
  <si>
    <t>Q124</t>
  </si>
  <si>
    <t>Q323</t>
  </si>
  <si>
    <t>Q223</t>
  </si>
  <si>
    <t>Q123</t>
  </si>
  <si>
    <t>Revenue Growth</t>
  </si>
  <si>
    <t>Gross Margin</t>
  </si>
  <si>
    <t>Q422</t>
  </si>
  <si>
    <t>Q322</t>
  </si>
  <si>
    <t>Model NI</t>
  </si>
  <si>
    <t>Reported NI</t>
  </si>
  <si>
    <t>Q122</t>
  </si>
  <si>
    <t>Q125</t>
  </si>
  <si>
    <t>Q225</t>
  </si>
  <si>
    <t>Q325</t>
  </si>
  <si>
    <t>Q425</t>
  </si>
  <si>
    <t>BS</t>
  </si>
  <si>
    <t xml:space="preserve"> </t>
  </si>
  <si>
    <t>PPE</t>
  </si>
  <si>
    <t>CWIP</t>
  </si>
  <si>
    <t>ROU Assets</t>
  </si>
  <si>
    <t>Goodwill</t>
  </si>
  <si>
    <t>Other Intangible</t>
  </si>
  <si>
    <t>Investments</t>
  </si>
  <si>
    <t>OFA</t>
  </si>
  <si>
    <t>Tax Assets</t>
  </si>
  <si>
    <t>ONCA</t>
  </si>
  <si>
    <t>Loans</t>
  </si>
  <si>
    <t>OCA</t>
  </si>
  <si>
    <t>Assets</t>
  </si>
  <si>
    <t>Borrowings</t>
  </si>
  <si>
    <t>Lease</t>
  </si>
  <si>
    <t>OFL</t>
  </si>
  <si>
    <t>Provisions</t>
  </si>
  <si>
    <t>Deferred tax liabilites</t>
  </si>
  <si>
    <t>TP</t>
  </si>
  <si>
    <t>OCL</t>
  </si>
  <si>
    <t>Liabilities</t>
  </si>
  <si>
    <t>SE</t>
  </si>
  <si>
    <t>SE+L</t>
  </si>
  <si>
    <t>Net Cash</t>
  </si>
  <si>
    <t>Inventories</t>
  </si>
  <si>
    <t>TR</t>
  </si>
  <si>
    <t>CF</t>
  </si>
  <si>
    <t>Depreciation</t>
  </si>
  <si>
    <t>Amortization</t>
  </si>
  <si>
    <t>Writeoffs/provision</t>
  </si>
  <si>
    <t>Share payments</t>
  </si>
  <si>
    <t>Gain on securities</t>
  </si>
  <si>
    <t>Interest</t>
  </si>
  <si>
    <t>WC</t>
  </si>
  <si>
    <t>Tax</t>
  </si>
  <si>
    <t>CFFO</t>
  </si>
  <si>
    <t>Capex</t>
  </si>
  <si>
    <t>Acquisitions</t>
  </si>
  <si>
    <t>CFFI</t>
  </si>
  <si>
    <t>Stock Issue</t>
  </si>
  <si>
    <t>Debt Retirement</t>
  </si>
  <si>
    <t>Float cost of equity</t>
  </si>
  <si>
    <t>SBC</t>
  </si>
  <si>
    <t>LL principal/interest</t>
  </si>
  <si>
    <t>CFFF</t>
  </si>
  <si>
    <t>FX</t>
  </si>
  <si>
    <t>CIC</t>
  </si>
  <si>
    <t>FCF</t>
  </si>
  <si>
    <t>Food Delivery AR</t>
  </si>
  <si>
    <t>Hyperpure</t>
  </si>
  <si>
    <t>Quick Commerce</t>
  </si>
  <si>
    <t>Going Out Revenue</t>
  </si>
  <si>
    <t>Adj OpRev</t>
  </si>
  <si>
    <t>customer delivery charges</t>
  </si>
  <si>
    <t>platform fee</t>
  </si>
  <si>
    <t>Blinkit acquired by zomato 24th June 2022 (Q123)</t>
  </si>
  <si>
    <t>Food del rev growth</t>
  </si>
  <si>
    <t>Hyperpure growth</t>
  </si>
  <si>
    <t>Blinkit growth</t>
  </si>
  <si>
    <t>Going out rev</t>
  </si>
  <si>
    <t>FY2019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</si>
  <si>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</si>
  <si>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</si>
  <si>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</si>
  <si>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</si>
  <si>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</si>
  <si>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</si>
  <si>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</si>
  <si>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</si>
  <si>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FY2028</t>
  </si>
  <si>
    <t>FY2029</t>
  </si>
  <si>
    <t>FY2030</t>
  </si>
  <si>
    <t>FY2031</t>
  </si>
  <si>
    <t>FY2032</t>
  </si>
  <si>
    <t>FY2033</t>
  </si>
  <si>
    <t>FY2034</t>
  </si>
  <si>
    <t>Tax rate</t>
  </si>
  <si>
    <t>Terminal</t>
  </si>
  <si>
    <t>ROIC</t>
  </si>
  <si>
    <t>Discount</t>
  </si>
  <si>
    <t>NPV</t>
  </si>
  <si>
    <t>Finance Cost growth</t>
  </si>
  <si>
    <t>D&amp;A/Sales</t>
  </si>
  <si>
    <t>Advertisment Growth</t>
  </si>
  <si>
    <t>OtherEx Growth</t>
  </si>
  <si>
    <t>EBE Growth</t>
  </si>
  <si>
    <t>SIT/Sales</t>
  </si>
  <si>
    <t>Return</t>
  </si>
  <si>
    <t>PayTM event ticketing subsidiaries acquired 28 Aug 24 for 2005Cr</t>
  </si>
  <si>
    <t>Food Delivery GOV</t>
  </si>
  <si>
    <t>Blinkit GOV</t>
  </si>
  <si>
    <t>Going out GOV</t>
  </si>
  <si>
    <t>% of valuation</t>
  </si>
  <si>
    <t>Swiggy EV</t>
  </si>
  <si>
    <t>Swiggy NPV</t>
  </si>
  <si>
    <t>Zomato EV</t>
  </si>
  <si>
    <t>Zomato NPV</t>
  </si>
  <si>
    <t>delta</t>
  </si>
  <si>
    <t>Current</t>
  </si>
  <si>
    <t>Implied</t>
  </si>
  <si>
    <t>return</t>
  </si>
  <si>
    <t>Swiggy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</si>
</sst>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9" fontId="0" fillId="0" borderId="0" xfId="1" applyFont="1"/>
    <xf numFmtId="1" fontId="0" fillId="0" borderId="0" xfId="0" applyNumberFormat="1"/>
    <xf numFmtId="4" fontId="0" fillId="0" borderId="0" xfId="0" applyNumberFormat="1"/>
    <xf numFmtId="164" fontId="2" fillId="0" borderId="0" xfId="0" applyNumberFormat="1" applyFont="1"/>
    <xf numFmtId="3" fontId="0" fillId="0" borderId="0" xfId="0" applyNumberFormat="1" applyAlignment="1">
      <alignment horizontal="right"/>
    </xf>
    <xf numFmtId="9" fontId="0" fillId="0" borderId="0" xfId="0" applyNumberFormat="1"/>
    <xf numFmtId="9" fontId="2" fillId="0" borderId="0" xfId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0</xdr:row>
      <xdr:rowOff>47625</xdr:rowOff>
    </xdr:from>
    <xdr:to>
      <xdr:col>28</xdr:col>
      <xdr:colOff>0</xdr:colOff>
      <xdr:row>69</xdr:row>
      <xdr:rowOff>142875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1895EBD-7A50-581E-9F86-A101669FD31D}"/>
            </a:ext>
          </a:extLst>
        </xdr:cNvPr>
        <xdr:cNvCxnSpPr/>
      </xdr:nvCxnSpPr>
      <xdr:spPr>
        <a:xfrm>
          <a:off x="19592925" y="47625"/>
          <a:ext cx="0" cy="1285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709612</xdr:colOff>
      <xdr:row>0</xdr:row>
      <xdr:rowOff>0</xdr:rowOff>
    </xdr:from>
    <xdr:to>
      <xdr:col>15</xdr:col>
      <xdr:colOff>709612</xdr:colOff>
      <xdr:row>128</xdr:row>
      <xdr:rowOff>61913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DF7F74-F4E1-5E48-53BC-48A8CB2A3439}"/>
            </a:ext>
          </a:extLst>
        </xdr:cNvPr>
        <xdr:cNvCxnSpPr/>
      </xdr:nvCxnSpPr>
      <xdr:spPr>
        <a:xfrm flipV="1">
          <a:off x="11701462" y="0"/>
          <a:ext cx="0" cy="24064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EB42-1F91-4E00-BE77-874C1615741D}">
  <dimension ref="B3:I19"/>
  <sheetViews>
    <sheetView topLeftCell="A3" workbookViewId="0">
      <selection activeCell="I9" sqref="I9"/>
    </sheetView>
  </sheetViews>
  <sheetFormatPr defaultRowHeight="15" x14ac:dyDescent="0.25"/>
  <cols>
    <col min="8" max="8" width="11" bestFit="1" customWidth="1"/>
    <col min="9" max="9" width="11.7109375" customWidth="1"/>
  </cols>
  <sheetData>
    <row r="3" spans="2:9" x14ac:dyDescent="0.25">
      <c r="I3" s="5" t="s">
        <v>9</v>
      </c>
    </row>
    <row r="4" spans="2:9" x14ac:dyDescent="0.25">
      <c r="B4" s="1" t="s">
        <v>0</v>
      </c>
      <c r="H4" t="s">
        <v>3</v>
      </c>
      <c r="I4" s="2">
        <v>240.08</v>
      </c>
    </row>
    <row r="5" spans="2:9" x14ac:dyDescent="0.25">
      <c r="H5" t="s">
        <v>4</v>
      </c>
      <c r="I5" s="3">
        <v>872</v>
      </c>
    </row>
    <row r="6" spans="2:9" x14ac:dyDescent="0.25">
      <c r="H6" t="s">
        <v>7</v>
      </c>
      <c r="I6" s="4">
        <f>I4*I5</f>
        <v>209349.76000000001</v>
      </c>
    </row>
    <row r="7" spans="2:9" x14ac:dyDescent="0.25">
      <c r="H7" t="s">
        <v>5</v>
      </c>
      <c r="I7">
        <v>506</v>
      </c>
    </row>
    <row r="8" spans="2:9" x14ac:dyDescent="0.25">
      <c r="H8" t="s">
        <v>6</v>
      </c>
      <c r="I8">
        <v>1159</v>
      </c>
    </row>
    <row r="9" spans="2:9" x14ac:dyDescent="0.25">
      <c r="H9" t="s">
        <v>8</v>
      </c>
      <c r="I9" s="4">
        <f>I6-I7+I8</f>
        <v>210002.76</v>
      </c>
    </row>
    <row r="16" spans="2:9" x14ac:dyDescent="0.25">
      <c r="B16" s="1" t="s">
        <v>1</v>
      </c>
      <c r="H16" s="1" t="s">
        <v>2</v>
      </c>
    </row>
    <row r="17" spans="2:8" x14ac:dyDescent="0.25">
      <c r="B17" s="1" t="s">
        <v>10</v>
      </c>
      <c r="C17" t="s">
        <v>11</v>
      </c>
      <c r="H17" t="s">
        <v>111</v>
      </c>
    </row>
    <row r="18" spans="2:8" x14ac:dyDescent="0.25">
      <c r="B18" s="1" t="s">
        <v>12</v>
      </c>
      <c r="C18" t="s">
        <v>13</v>
      </c>
      <c r="H18" t="s">
        <v>144</v>
      </c>
    </row>
    <row r="19" spans="2:8" x14ac:dyDescent="0.25">
      <c r="B19" s="1" t="s">
        <v>14</v>
      </c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2BCD-B6D0-4CDC-A77D-152B992CCD3A}">
  <dimension ref="A1:HA116"/>
  <sheetViews>
    <sheetView zoomScaleNormal="100" workbookViewId="0">
      <pane xSplit="2" ySplit="2" topLeftCell="R27" activePane="bottomRight" state="frozen"/>
      <selection pane="topRight" activeCell="C1" sqref="C1"/>
      <selection pane="bottomLeft" activeCell="A3" sqref="A3"/>
      <selection pane="bottomRight" activeCell="AK7" sqref="AK7"/>
    </sheetView>
  </sheetViews>
  <sheetFormatPr defaultColWidth="9" defaultRowHeight="15" x14ac:dyDescent="0.25"/>
  <cols>
    <col min="1" max="1" width="9.140625" customWidth="1"/>
    <col min="2" max="2" width="18" bestFit="1" customWidth="1"/>
    <col min="3" max="16" width="10.7109375" style="3" bestFit="1" customWidth="1"/>
    <col min="17" max="22" width="9" style="3"/>
    <col min="23" max="28" width="10.7109375" style="3" bestFit="1" customWidth="1"/>
    <col min="29" max="41" width="9" style="3"/>
    <col min="42" max="42" width="10.140625" style="3" bestFit="1" customWidth="1"/>
    <col min="43" max="16384" width="9" style="3"/>
  </cols>
  <sheetData>
    <row r="1" spans="2:41" customFormat="1" x14ac:dyDescent="0.25">
      <c r="C1" s="11">
        <v>44377</v>
      </c>
      <c r="D1" s="11">
        <v>44469</v>
      </c>
      <c r="E1" s="11">
        <v>44561</v>
      </c>
      <c r="F1" s="11">
        <v>44651</v>
      </c>
      <c r="G1" s="11">
        <v>44742</v>
      </c>
      <c r="H1" s="11">
        <v>44834</v>
      </c>
      <c r="I1" s="11">
        <v>44926</v>
      </c>
      <c r="J1" s="11">
        <v>45016</v>
      </c>
      <c r="K1" s="11">
        <v>45107</v>
      </c>
      <c r="L1" s="11">
        <v>45199</v>
      </c>
      <c r="M1" s="11">
        <v>45291</v>
      </c>
      <c r="N1" s="11">
        <v>45382</v>
      </c>
      <c r="O1" s="11">
        <v>45473</v>
      </c>
      <c r="P1" s="11">
        <v>45565</v>
      </c>
      <c r="Q1" s="13">
        <v>1</v>
      </c>
      <c r="R1" s="13">
        <f t="shared" ref="R1" si="0">Q1+1</f>
        <v>2</v>
      </c>
      <c r="W1" s="11">
        <v>43555</v>
      </c>
      <c r="X1" s="11">
        <v>43921</v>
      </c>
      <c r="Y1" s="11">
        <v>44286</v>
      </c>
      <c r="Z1" s="11">
        <v>44651</v>
      </c>
      <c r="AA1" s="11">
        <v>45016</v>
      </c>
      <c r="AB1" s="11">
        <v>45382</v>
      </c>
      <c r="AC1">
        <f>1</f>
        <v>1</v>
      </c>
      <c r="AD1">
        <f>AC1+1</f>
        <v>2</v>
      </c>
      <c r="AE1">
        <f t="shared" ref="AE1:AL1" si="1">AD1+1</f>
        <v>3</v>
      </c>
      <c r="AF1">
        <f>AE1+1</f>
        <v>4</v>
      </c>
      <c r="AG1">
        <f t="shared" si="1"/>
        <v>5</v>
      </c>
      <c r="AH1">
        <f t="shared" si="1"/>
        <v>6</v>
      </c>
      <c r="AI1">
        <f t="shared" si="1"/>
        <v>7</v>
      </c>
      <c r="AJ1">
        <f t="shared" si="1"/>
        <v>8</v>
      </c>
      <c r="AK1">
        <f t="shared" si="1"/>
        <v>9</v>
      </c>
      <c r="AL1">
        <f t="shared" si="1"/>
        <v>10</v>
      </c>
    </row>
    <row r="2" spans="2:41" customFormat="1" x14ac:dyDescent="0.25">
      <c r="C2" s="5" t="s">
        <v>50</v>
      </c>
      <c r="D2" s="5" t="s">
        <v>38</v>
      </c>
      <c r="E2" s="5" t="s">
        <v>47</v>
      </c>
      <c r="F2" s="5" t="s">
        <v>46</v>
      </c>
      <c r="G2" s="5" t="s">
        <v>43</v>
      </c>
      <c r="H2" s="5" t="s">
        <v>42</v>
      </c>
      <c r="I2" s="5" t="s">
        <v>41</v>
      </c>
      <c r="J2" s="5" t="s">
        <v>37</v>
      </c>
      <c r="K2" s="5" t="s">
        <v>40</v>
      </c>
      <c r="L2" s="5" t="s">
        <v>39</v>
      </c>
      <c r="M2" s="5" t="s">
        <v>36</v>
      </c>
      <c r="N2" s="5" t="s">
        <v>35</v>
      </c>
      <c r="O2" s="5" t="s">
        <v>51</v>
      </c>
      <c r="P2" s="5" t="s">
        <v>52</v>
      </c>
      <c r="Q2" s="5" t="s">
        <v>53</v>
      </c>
      <c r="R2" s="5" t="s">
        <v>54</v>
      </c>
      <c r="W2" s="5" t="s">
        <v>116</v>
      </c>
      <c r="X2" s="5" t="s">
        <v>117</v>
      </c>
      <c r="Y2" s="5" t="s">
        <v>118</v>
      </c>
      <c r="Z2" s="5" t="s">
        <v>119</v>
      </c>
      <c r="AA2" s="5" t="s">
        <v>120</v>
      </c>
      <c r="AB2" s="5" t="s">
        <v>121</v>
      </c>
      <c r="AC2" s="5" t="s">
        <v>122</v>
      </c>
      <c r="AD2" s="5" t="s">
        <v>123</v>
      </c>
      <c r="AE2" s="5" t="s">
        <v>124</v>
      </c>
      <c r="AF2" s="5" t="s">
        <v>125</v>
      </c>
      <c r="AG2" s="5" t="s">
        <v>126</v>
      </c>
      <c r="AH2" s="5" t="s">
        <v>127</v>
      </c>
      <c r="AI2" s="5" t="s">
        <v>128</v>
      </c>
      <c r="AJ2" s="5" t="s">
        <v>129</v>
      </c>
      <c r="AK2" s="5" t="s">
        <v>130</v>
      </c>
      <c r="AL2" s="5" t="s">
        <v>131</v>
      </c>
      <c r="AM2" s="5"/>
      <c r="AN2" s="5"/>
      <c r="AO2" s="5"/>
    </row>
    <row r="3" spans="2:41" customForma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2:41" customFormat="1" x14ac:dyDescent="0.25">
      <c r="B4" t="s">
        <v>145</v>
      </c>
      <c r="C4" s="16"/>
      <c r="D4" s="16"/>
      <c r="E4" s="16"/>
      <c r="F4" s="16"/>
      <c r="G4" s="16"/>
      <c r="H4" s="16">
        <v>6631</v>
      </c>
      <c r="I4" s="16">
        <v>6680</v>
      </c>
      <c r="J4" s="16">
        <v>6569</v>
      </c>
      <c r="K4" s="16">
        <v>7318</v>
      </c>
      <c r="L4" s="16">
        <v>7980</v>
      </c>
      <c r="M4" s="16">
        <v>7890</v>
      </c>
      <c r="N4" s="16">
        <v>8439</v>
      </c>
      <c r="O4" s="16">
        <v>9264</v>
      </c>
      <c r="P4" s="16">
        <v>9690</v>
      </c>
      <c r="Q4" s="5"/>
      <c r="R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2:41" customFormat="1" x14ac:dyDescent="0.25">
      <c r="B5" t="s">
        <v>146</v>
      </c>
      <c r="C5" s="16"/>
      <c r="D5" s="16"/>
      <c r="E5" s="16"/>
      <c r="F5" s="16"/>
      <c r="G5" s="16"/>
      <c r="H5" s="16">
        <v>842</v>
      </c>
      <c r="I5" s="16">
        <v>1749</v>
      </c>
      <c r="J5" s="16">
        <v>2046</v>
      </c>
      <c r="K5" s="16">
        <v>2140</v>
      </c>
      <c r="L5" s="16">
        <v>2760</v>
      </c>
      <c r="M5" s="16">
        <v>2760</v>
      </c>
      <c r="N5" s="16">
        <v>3542</v>
      </c>
      <c r="O5" s="16">
        <v>4923</v>
      </c>
      <c r="P5" s="16">
        <v>6132</v>
      </c>
      <c r="Q5" s="5"/>
      <c r="R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2:41" customFormat="1" x14ac:dyDescent="0.25">
      <c r="B6" t="s">
        <v>147</v>
      </c>
      <c r="C6" s="16"/>
      <c r="D6" s="16"/>
      <c r="E6" s="16"/>
      <c r="F6" s="16"/>
      <c r="G6" s="16"/>
      <c r="H6" s="16">
        <v>298</v>
      </c>
      <c r="I6" s="16">
        <v>338</v>
      </c>
      <c r="J6" s="16">
        <v>348</v>
      </c>
      <c r="K6" s="16">
        <v>616</v>
      </c>
      <c r="L6" s="16">
        <v>682</v>
      </c>
      <c r="M6" s="16">
        <v>682</v>
      </c>
      <c r="N6" s="16">
        <v>858</v>
      </c>
      <c r="O6" s="16">
        <v>1268</v>
      </c>
      <c r="P6" s="16">
        <v>1849</v>
      </c>
      <c r="Q6" s="5"/>
      <c r="R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8" spans="2:41" x14ac:dyDescent="0.25">
      <c r="B8" s="5" t="s">
        <v>104</v>
      </c>
      <c r="C8" s="3">
        <v>1030</v>
      </c>
      <c r="D8" s="3">
        <v>1250</v>
      </c>
      <c r="E8" s="3">
        <v>1200</v>
      </c>
      <c r="F8" s="3">
        <v>1284</v>
      </c>
      <c r="G8" s="3">
        <v>1470</v>
      </c>
      <c r="H8" s="3">
        <v>1581</v>
      </c>
      <c r="I8" s="3">
        <v>1565</v>
      </c>
      <c r="J8" s="3">
        <v>1530</v>
      </c>
      <c r="K8" s="3">
        <v>1724</v>
      </c>
      <c r="L8" s="3">
        <v>1938</v>
      </c>
      <c r="M8" s="3">
        <v>2062</v>
      </c>
      <c r="N8" s="3">
        <v>2050</v>
      </c>
      <c r="O8" s="3">
        <v>2256</v>
      </c>
      <c r="P8" s="3">
        <v>2340</v>
      </c>
      <c r="Q8" s="3">
        <f t="shared" ref="P8:R11" si="2">M8*(1+Q17)</f>
        <v>2474.4</v>
      </c>
      <c r="R8" s="3">
        <f t="shared" si="2"/>
        <v>2460</v>
      </c>
      <c r="Z8" s="3">
        <f>SUM(C8:F8)</f>
        <v>4764</v>
      </c>
      <c r="AA8" s="3">
        <f>SUM(G8:J8)</f>
        <v>6146</v>
      </c>
      <c r="AB8" s="3">
        <f>SUM(K8:N8)</f>
        <v>7774</v>
      </c>
      <c r="AC8" s="3">
        <f>SUM(O8:R8)</f>
        <v>9530.4</v>
      </c>
      <c r="AD8" s="3">
        <f t="shared" ref="AD8:AL9" si="3">AC8*(1+AD17)</f>
        <v>11436.48</v>
      </c>
      <c r="AE8" s="3">
        <f t="shared" si="3"/>
        <v>13723.776</v>
      </c>
      <c r="AF8" s="3">
        <f t="shared" si="3"/>
        <v>16468.531199999998</v>
      </c>
      <c r="AG8" s="3">
        <f t="shared" si="3"/>
        <v>19762.237439999997</v>
      </c>
      <c r="AH8" s="3">
        <f t="shared" si="3"/>
        <v>23714.684927999995</v>
      </c>
      <c r="AI8" s="3">
        <f t="shared" si="3"/>
        <v>27271.887667199993</v>
      </c>
      <c r="AJ8" s="3">
        <f t="shared" si="3"/>
        <v>31362.670817279988</v>
      </c>
      <c r="AK8" s="3">
        <f t="shared" si="3"/>
        <v>34498.937899007993</v>
      </c>
      <c r="AL8" s="3">
        <f t="shared" si="3"/>
        <v>37948.831688908795</v>
      </c>
    </row>
    <row r="9" spans="2:41" x14ac:dyDescent="0.25">
      <c r="B9" s="5" t="s">
        <v>105</v>
      </c>
      <c r="C9" s="3">
        <v>80</v>
      </c>
      <c r="D9" s="3">
        <v>110</v>
      </c>
      <c r="E9" s="3">
        <v>157</v>
      </c>
      <c r="F9" s="3">
        <v>194</v>
      </c>
      <c r="G9" s="3">
        <v>273</v>
      </c>
      <c r="H9" s="3">
        <v>334</v>
      </c>
      <c r="I9" s="3">
        <v>421</v>
      </c>
      <c r="J9" s="3">
        <v>478</v>
      </c>
      <c r="K9" s="3">
        <v>617</v>
      </c>
      <c r="L9" s="3">
        <v>745</v>
      </c>
      <c r="M9" s="3">
        <v>859</v>
      </c>
      <c r="N9" s="3">
        <v>951</v>
      </c>
      <c r="O9" s="3">
        <v>1212</v>
      </c>
      <c r="P9" s="3">
        <v>1473</v>
      </c>
      <c r="Q9" s="3">
        <f t="shared" si="2"/>
        <v>1675.05</v>
      </c>
      <c r="R9" s="3">
        <f t="shared" si="2"/>
        <v>1854.45</v>
      </c>
      <c r="Z9" s="3">
        <f>SUM(C9:F9)</f>
        <v>541</v>
      </c>
      <c r="AA9" s="3">
        <f>SUM(G9:J9)</f>
        <v>1506</v>
      </c>
      <c r="AB9" s="3">
        <f>SUM(K9:N9)</f>
        <v>3172</v>
      </c>
      <c r="AC9" s="3">
        <f t="shared" ref="AC9:AC12" si="4">SUM(O9:R9)</f>
        <v>6214.5</v>
      </c>
      <c r="AD9" s="3">
        <f t="shared" ref="AD9:AL9" si="5">AC9*(1+AD18)</f>
        <v>10564.65</v>
      </c>
      <c r="AE9" s="3">
        <f t="shared" si="5"/>
        <v>16903.439999999999</v>
      </c>
      <c r="AF9" s="3">
        <f t="shared" si="5"/>
        <v>25355.159999999996</v>
      </c>
      <c r="AG9" s="3">
        <f t="shared" si="5"/>
        <v>32961.707999999999</v>
      </c>
      <c r="AH9" s="3">
        <f t="shared" si="5"/>
        <v>42850.220399999998</v>
      </c>
      <c r="AI9" s="3">
        <f t="shared" si="5"/>
        <v>47135.242440000002</v>
      </c>
      <c r="AJ9" s="3">
        <f t="shared" si="5"/>
        <v>51848.766684000009</v>
      </c>
      <c r="AK9" s="3">
        <f t="shared" si="3"/>
        <v>57033.643352400017</v>
      </c>
      <c r="AL9" s="3">
        <f t="shared" si="5"/>
        <v>62737.00768764002</v>
      </c>
    </row>
    <row r="10" spans="2:41" x14ac:dyDescent="0.25">
      <c r="B10" s="5" t="s">
        <v>106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142</v>
      </c>
      <c r="I10" s="3">
        <v>301</v>
      </c>
      <c r="J10" s="3">
        <v>363</v>
      </c>
      <c r="K10" s="3">
        <v>384</v>
      </c>
      <c r="L10" s="3">
        <v>505</v>
      </c>
      <c r="M10" s="3">
        <v>644</v>
      </c>
      <c r="N10" s="3">
        <v>769</v>
      </c>
      <c r="O10" s="3">
        <v>942</v>
      </c>
      <c r="P10" s="3">
        <v>1156</v>
      </c>
      <c r="Q10" s="3">
        <f t="shared" si="2"/>
        <v>1288</v>
      </c>
      <c r="R10" s="3">
        <f t="shared" si="2"/>
        <v>1538</v>
      </c>
      <c r="Z10" s="3">
        <f>SUM(C10:F10)</f>
        <v>0</v>
      </c>
      <c r="AA10" s="3">
        <f>SUM(G10:J10)</f>
        <v>806</v>
      </c>
      <c r="AB10" s="3">
        <f>SUM(K10:N10)</f>
        <v>2302</v>
      </c>
      <c r="AC10" s="3">
        <f t="shared" si="4"/>
        <v>4924</v>
      </c>
      <c r="AD10" s="3">
        <f t="shared" ref="AD10:AL10" si="6">AC10*(1+AD19)</f>
        <v>9848</v>
      </c>
      <c r="AE10" s="3">
        <f t="shared" si="6"/>
        <v>16741.599999999999</v>
      </c>
      <c r="AF10" s="3">
        <f t="shared" si="6"/>
        <v>28460.719999999998</v>
      </c>
      <c r="AG10" s="3">
        <f t="shared" si="6"/>
        <v>48383.223999999995</v>
      </c>
      <c r="AH10" s="3">
        <f t="shared" si="6"/>
        <v>65317.352399999996</v>
      </c>
      <c r="AI10" s="3">
        <f t="shared" si="6"/>
        <v>88178.425740000006</v>
      </c>
      <c r="AJ10" s="3">
        <f t="shared" si="6"/>
        <v>119040.87474900001</v>
      </c>
      <c r="AK10" s="3">
        <f t="shared" si="6"/>
        <v>130944.96222390002</v>
      </c>
      <c r="AL10" s="3">
        <f t="shared" si="6"/>
        <v>144039.45844629002</v>
      </c>
    </row>
    <row r="11" spans="2:41" x14ac:dyDescent="0.25">
      <c r="B11" s="5" t="s">
        <v>107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41</v>
      </c>
      <c r="K11" s="3">
        <v>42</v>
      </c>
      <c r="L11" s="3">
        <v>49</v>
      </c>
      <c r="M11" s="3">
        <v>73</v>
      </c>
      <c r="N11" s="3">
        <v>93</v>
      </c>
      <c r="O11" s="3">
        <v>95</v>
      </c>
      <c r="P11" s="3">
        <v>154</v>
      </c>
      <c r="Q11" s="3">
        <f t="shared" si="2"/>
        <v>219</v>
      </c>
      <c r="R11" s="3">
        <f t="shared" si="2"/>
        <v>279</v>
      </c>
      <c r="Z11" s="3">
        <f>SUM(C11:F11)</f>
        <v>0</v>
      </c>
      <c r="AA11" s="3">
        <f>SUM(G11:J11)</f>
        <v>41</v>
      </c>
      <c r="AB11" s="3">
        <f>SUM(K11:N11)</f>
        <v>257</v>
      </c>
      <c r="AC11" s="3">
        <f t="shared" si="4"/>
        <v>747</v>
      </c>
      <c r="AD11" s="3">
        <f t="shared" ref="AD11:AL11" si="7">AC11*(1+AD20)</f>
        <v>1867.5</v>
      </c>
      <c r="AE11" s="3">
        <f t="shared" si="7"/>
        <v>4668.75</v>
      </c>
      <c r="AF11" s="3">
        <f t="shared" si="7"/>
        <v>9337.5</v>
      </c>
      <c r="AG11" s="3">
        <f t="shared" si="7"/>
        <v>16340.625</v>
      </c>
      <c r="AH11" s="3">
        <f t="shared" si="7"/>
        <v>24510.9375</v>
      </c>
      <c r="AI11" s="3">
        <f t="shared" si="7"/>
        <v>30638.671875</v>
      </c>
      <c r="AJ11" s="3">
        <f t="shared" si="7"/>
        <v>38298.33984375</v>
      </c>
      <c r="AK11" s="3">
        <f t="shared" si="7"/>
        <v>42128.173828125</v>
      </c>
      <c r="AL11" s="3">
        <f t="shared" si="7"/>
        <v>46340.991210937507</v>
      </c>
    </row>
    <row r="12" spans="2:41" x14ac:dyDescent="0.25">
      <c r="B12" s="5" t="s">
        <v>17</v>
      </c>
      <c r="C12" s="3">
        <v>50</v>
      </c>
      <c r="D12" s="3">
        <v>60</v>
      </c>
      <c r="E12" s="3">
        <v>66</v>
      </c>
      <c r="F12" s="3">
        <v>61</v>
      </c>
      <c r="G12" s="3">
        <v>67</v>
      </c>
      <c r="H12" s="3">
        <v>49</v>
      </c>
      <c r="I12" s="3">
        <v>75</v>
      </c>
      <c r="J12" s="3">
        <v>2</v>
      </c>
      <c r="K12" s="3">
        <v>1</v>
      </c>
      <c r="L12" s="3">
        <v>3</v>
      </c>
      <c r="M12" s="3">
        <v>8</v>
      </c>
      <c r="N12" s="3">
        <v>10</v>
      </c>
      <c r="O12" s="3">
        <v>15</v>
      </c>
      <c r="P12" s="3">
        <v>4</v>
      </c>
      <c r="Q12" s="3">
        <v>0</v>
      </c>
      <c r="R12" s="3">
        <v>0</v>
      </c>
      <c r="Z12" s="3">
        <f>SUM(C12:F12)</f>
        <v>237</v>
      </c>
      <c r="AA12" s="3">
        <f>SUM(G12:J12)</f>
        <v>193</v>
      </c>
      <c r="AB12" s="3">
        <f>SUM(K12:N12)</f>
        <v>22</v>
      </c>
      <c r="AC12" s="3">
        <f t="shared" si="4"/>
        <v>19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2:41" x14ac:dyDescent="0.25">
      <c r="B13" s="6" t="s">
        <v>108</v>
      </c>
      <c r="C13" s="8">
        <f t="shared" ref="C13:D13" si="8">SUM(C8:C12)</f>
        <v>1160</v>
      </c>
      <c r="D13" s="8">
        <f t="shared" si="8"/>
        <v>1420</v>
      </c>
      <c r="E13" s="8">
        <f>SUM(E8:E12)</f>
        <v>1423</v>
      </c>
      <c r="F13" s="8">
        <f t="shared" ref="F13:I13" si="9">SUM(F8:F12)</f>
        <v>1539</v>
      </c>
      <c r="G13" s="8">
        <f t="shared" si="9"/>
        <v>1810</v>
      </c>
      <c r="H13" s="8">
        <f t="shared" si="9"/>
        <v>2106</v>
      </c>
      <c r="I13" s="8">
        <f t="shared" si="9"/>
        <v>2362</v>
      </c>
      <c r="J13" s="8">
        <f>SUM(J8:J12)</f>
        <v>2414</v>
      </c>
      <c r="K13" s="8">
        <f t="shared" ref="K13:O13" si="10">SUM(K8:K12)</f>
        <v>2768</v>
      </c>
      <c r="L13" s="8">
        <f t="shared" si="10"/>
        <v>3240</v>
      </c>
      <c r="M13" s="8">
        <f t="shared" si="10"/>
        <v>3646</v>
      </c>
      <c r="N13" s="8">
        <f t="shared" si="10"/>
        <v>3873</v>
      </c>
      <c r="O13" s="8">
        <f t="shared" si="10"/>
        <v>4520</v>
      </c>
      <c r="P13" s="8">
        <f t="shared" ref="P13" si="11">SUM(P8:P12)</f>
        <v>5127</v>
      </c>
      <c r="Q13" s="8">
        <f t="shared" ref="Q13" si="12">SUM(Q8:Q12)</f>
        <v>5656.45</v>
      </c>
      <c r="R13" s="8">
        <f t="shared" ref="R13" si="13">SUM(R8:R12)</f>
        <v>6131.45</v>
      </c>
      <c r="Z13" s="8">
        <f>SUM(Z8:Z12)</f>
        <v>5542</v>
      </c>
      <c r="AA13" s="8">
        <f t="shared" ref="AA13:AB13" si="14">SUM(AA8:AA12)</f>
        <v>8692</v>
      </c>
      <c r="AB13" s="8">
        <f t="shared" si="14"/>
        <v>13527</v>
      </c>
      <c r="AC13" s="8">
        <f t="shared" ref="AC13" si="15">SUM(AC8:AC12)</f>
        <v>21434.9</v>
      </c>
      <c r="AD13" s="8">
        <f t="shared" ref="AD13" si="16">SUM(AD8:AD12)</f>
        <v>33716.629999999997</v>
      </c>
      <c r="AE13" s="8">
        <f t="shared" ref="AE13" si="17">SUM(AE8:AE12)</f>
        <v>52037.565999999999</v>
      </c>
      <c r="AF13" s="8">
        <f t="shared" ref="AF13" si="18">SUM(AF8:AF12)</f>
        <v>79621.911199999988</v>
      </c>
      <c r="AG13" s="8">
        <f t="shared" ref="AG13" si="19">SUM(AG8:AG12)</f>
        <v>117447.79444</v>
      </c>
      <c r="AH13" s="8">
        <f t="shared" ref="AH13" si="20">SUM(AH8:AH12)</f>
        <v>156393.195228</v>
      </c>
      <c r="AI13" s="8">
        <f t="shared" ref="AI13" si="21">SUM(AI8:AI12)</f>
        <v>193224.22772219998</v>
      </c>
      <c r="AJ13" s="8">
        <f t="shared" ref="AJ13" si="22">SUM(AJ8:AJ12)</f>
        <v>240550.65209403</v>
      </c>
      <c r="AK13" s="8">
        <f t="shared" ref="AK13" si="23">SUM(AK8:AK12)</f>
        <v>264605.71730343299</v>
      </c>
      <c r="AL13" s="8">
        <f t="shared" ref="AL13" si="24">SUM(AL8:AL12)</f>
        <v>291066.28903377632</v>
      </c>
    </row>
    <row r="14" spans="2:41" x14ac:dyDescent="0.25">
      <c r="B14" s="5" t="s">
        <v>109</v>
      </c>
      <c r="C14" s="3">
        <v>320</v>
      </c>
      <c r="D14" s="3">
        <v>400</v>
      </c>
      <c r="E14" s="3">
        <v>310</v>
      </c>
      <c r="F14" s="3">
        <v>330</v>
      </c>
      <c r="G14" s="3">
        <v>400</v>
      </c>
      <c r="H14" s="3">
        <v>446</v>
      </c>
      <c r="I14" s="3">
        <v>415</v>
      </c>
      <c r="J14" s="3">
        <v>357</v>
      </c>
      <c r="K14" s="3">
        <v>370</v>
      </c>
      <c r="L14" s="3">
        <v>379</v>
      </c>
      <c r="M14" s="3">
        <v>321</v>
      </c>
      <c r="N14" s="3">
        <v>278</v>
      </c>
      <c r="O14" s="3">
        <v>261</v>
      </c>
      <c r="P14" s="3">
        <v>253</v>
      </c>
      <c r="Q14" s="3">
        <f>M14</f>
        <v>321</v>
      </c>
      <c r="R14" s="3">
        <f>N14</f>
        <v>278</v>
      </c>
      <c r="Z14" s="3">
        <f>SUM(C14:F14)</f>
        <v>1360</v>
      </c>
      <c r="AA14" s="3">
        <f>SUM(G14:J14)</f>
        <v>1618</v>
      </c>
      <c r="AB14" s="3">
        <f>SUM(K14:N14)</f>
        <v>1348</v>
      </c>
      <c r="AC14" s="3">
        <f>SUM(O14:R14)</f>
        <v>1113</v>
      </c>
      <c r="AD14" s="3">
        <f>AC14</f>
        <v>1113</v>
      </c>
      <c r="AE14" s="3">
        <f t="shared" ref="AE14:AL14" si="25">AD14</f>
        <v>1113</v>
      </c>
      <c r="AF14" s="3">
        <f t="shared" si="25"/>
        <v>1113</v>
      </c>
      <c r="AG14" s="3">
        <f t="shared" si="25"/>
        <v>1113</v>
      </c>
      <c r="AH14" s="3">
        <f t="shared" si="25"/>
        <v>1113</v>
      </c>
      <c r="AI14" s="3">
        <f t="shared" si="25"/>
        <v>1113</v>
      </c>
      <c r="AJ14" s="3">
        <f t="shared" si="25"/>
        <v>1113</v>
      </c>
      <c r="AK14" s="3">
        <f t="shared" si="25"/>
        <v>1113</v>
      </c>
      <c r="AL14" s="3">
        <f t="shared" si="25"/>
        <v>1113</v>
      </c>
    </row>
    <row r="15" spans="2:41" x14ac:dyDescent="0.25">
      <c r="B15" s="5" t="s">
        <v>110</v>
      </c>
      <c r="J15" s="3">
        <v>0</v>
      </c>
      <c r="K15" s="3">
        <v>0</v>
      </c>
      <c r="L15" s="3">
        <v>13</v>
      </c>
      <c r="M15" s="3">
        <v>37</v>
      </c>
      <c r="N15" s="3">
        <v>33</v>
      </c>
      <c r="O15" s="3">
        <v>53</v>
      </c>
      <c r="P15" s="3">
        <v>75</v>
      </c>
      <c r="Q15" s="3">
        <v>35</v>
      </c>
      <c r="R15" s="3">
        <v>35</v>
      </c>
      <c r="AB15" s="3">
        <f>SUM(K15:N15)</f>
        <v>83</v>
      </c>
      <c r="AC15" s="3">
        <f>SUM(O15:R15)</f>
        <v>198</v>
      </c>
      <c r="AD15" s="3">
        <f>AC15</f>
        <v>198</v>
      </c>
      <c r="AE15" s="3">
        <f t="shared" ref="AE15:AL15" si="26">AD15</f>
        <v>198</v>
      </c>
      <c r="AF15" s="3">
        <f t="shared" si="26"/>
        <v>198</v>
      </c>
      <c r="AG15" s="3">
        <f t="shared" si="26"/>
        <v>198</v>
      </c>
      <c r="AH15" s="3">
        <f t="shared" si="26"/>
        <v>198</v>
      </c>
      <c r="AI15" s="3">
        <f t="shared" si="26"/>
        <v>198</v>
      </c>
      <c r="AJ15" s="3">
        <f t="shared" si="26"/>
        <v>198</v>
      </c>
      <c r="AK15" s="3">
        <f t="shared" si="26"/>
        <v>198</v>
      </c>
      <c r="AL15" s="3">
        <f t="shared" si="26"/>
        <v>198</v>
      </c>
    </row>
    <row r="16" spans="2:41" x14ac:dyDescent="0.25">
      <c r="B16" s="5"/>
    </row>
    <row r="17" spans="2:38" x14ac:dyDescent="0.25">
      <c r="B17" s="5" t="s">
        <v>112</v>
      </c>
      <c r="C17" s="12"/>
      <c r="D17" s="12"/>
      <c r="E17" s="12"/>
      <c r="F17" s="12"/>
      <c r="G17" s="12">
        <f t="shared" ref="G17:M18" si="27">G8/C8-1</f>
        <v>0.42718446601941751</v>
      </c>
      <c r="H17" s="12">
        <f t="shared" si="27"/>
        <v>0.26479999999999992</v>
      </c>
      <c r="I17" s="12">
        <f t="shared" si="27"/>
        <v>0.3041666666666667</v>
      </c>
      <c r="J17" s="12">
        <f t="shared" si="27"/>
        <v>0.19158878504672905</v>
      </c>
      <c r="K17" s="12">
        <f t="shared" si="27"/>
        <v>0.17278911564625843</v>
      </c>
      <c r="L17" s="12">
        <f t="shared" si="27"/>
        <v>0.22580645161290325</v>
      </c>
      <c r="M17" s="12">
        <f t="shared" si="27"/>
        <v>0.31757188498402567</v>
      </c>
      <c r="N17" s="12">
        <f t="shared" ref="N17:P20" si="28">N8/J8-1</f>
        <v>0.33986928104575154</v>
      </c>
      <c r="O17" s="12">
        <f t="shared" si="28"/>
        <v>0.308584686774942</v>
      </c>
      <c r="P17" s="12">
        <f t="shared" si="28"/>
        <v>0.20743034055727549</v>
      </c>
      <c r="Q17" s="12">
        <v>0.2</v>
      </c>
      <c r="R17" s="12">
        <v>0.2</v>
      </c>
      <c r="AA17" s="12">
        <f t="shared" ref="AA17:AC18" si="29">AA8/Z8-1</f>
        <v>0.29009235936188071</v>
      </c>
      <c r="AB17" s="12">
        <f t="shared" si="29"/>
        <v>0.26488773185811909</v>
      </c>
      <c r="AC17" s="12">
        <f t="shared" si="29"/>
        <v>0.22593259583226133</v>
      </c>
      <c r="AD17" s="12">
        <v>0.2</v>
      </c>
      <c r="AE17" s="12">
        <v>0.2</v>
      </c>
      <c r="AF17" s="12">
        <v>0.2</v>
      </c>
      <c r="AG17" s="12">
        <v>0.2</v>
      </c>
      <c r="AH17" s="12">
        <v>0.2</v>
      </c>
      <c r="AI17" s="12">
        <v>0.15</v>
      </c>
      <c r="AJ17" s="12">
        <v>0.15</v>
      </c>
      <c r="AK17" s="12">
        <v>0.1</v>
      </c>
      <c r="AL17" s="12">
        <v>0.1</v>
      </c>
    </row>
    <row r="18" spans="2:38" x14ac:dyDescent="0.25">
      <c r="B18" s="5" t="s">
        <v>113</v>
      </c>
      <c r="C18" s="12"/>
      <c r="D18" s="12"/>
      <c r="E18" s="12"/>
      <c r="F18" s="12"/>
      <c r="G18" s="12">
        <f t="shared" si="27"/>
        <v>2.4125000000000001</v>
      </c>
      <c r="H18" s="12">
        <f t="shared" si="27"/>
        <v>2.0363636363636362</v>
      </c>
      <c r="I18" s="12">
        <f t="shared" si="27"/>
        <v>1.6815286624203822</v>
      </c>
      <c r="J18" s="12">
        <f t="shared" si="27"/>
        <v>1.463917525773196</v>
      </c>
      <c r="K18" s="12">
        <f t="shared" si="27"/>
        <v>1.26007326007326</v>
      </c>
      <c r="L18" s="12">
        <f t="shared" si="27"/>
        <v>1.2305389221556888</v>
      </c>
      <c r="M18" s="12">
        <f t="shared" si="27"/>
        <v>1.0403800475059382</v>
      </c>
      <c r="N18" s="12">
        <f t="shared" si="28"/>
        <v>0.98953974895397478</v>
      </c>
      <c r="O18" s="12">
        <f t="shared" si="28"/>
        <v>0.96434359805510539</v>
      </c>
      <c r="P18" s="12">
        <f t="shared" si="28"/>
        <v>0.97718120805369124</v>
      </c>
      <c r="Q18" s="12">
        <v>0.95</v>
      </c>
      <c r="R18" s="12">
        <v>0.95</v>
      </c>
      <c r="AA18" s="12">
        <f t="shared" si="29"/>
        <v>1.7837338262476896</v>
      </c>
      <c r="AB18" s="12">
        <f t="shared" si="29"/>
        <v>1.1062416998671978</v>
      </c>
      <c r="AC18" s="12">
        <f t="shared" si="29"/>
        <v>0.95917402269861296</v>
      </c>
      <c r="AD18" s="12">
        <v>0.7</v>
      </c>
      <c r="AE18" s="12">
        <v>0.6</v>
      </c>
      <c r="AF18" s="12">
        <v>0.5</v>
      </c>
      <c r="AG18" s="12">
        <v>0.3</v>
      </c>
      <c r="AH18" s="12">
        <v>0.3</v>
      </c>
      <c r="AI18" s="12">
        <v>0.1</v>
      </c>
      <c r="AJ18" s="12">
        <v>0.1</v>
      </c>
      <c r="AK18" s="12">
        <v>0.1</v>
      </c>
      <c r="AL18" s="12">
        <v>0.1</v>
      </c>
    </row>
    <row r="19" spans="2:38" x14ac:dyDescent="0.25">
      <c r="B19" s="5" t="s">
        <v>114</v>
      </c>
      <c r="C19" s="12"/>
      <c r="D19" s="12"/>
      <c r="E19" s="12"/>
      <c r="F19" s="12"/>
      <c r="G19" s="12"/>
      <c r="H19" s="12"/>
      <c r="I19" s="12"/>
      <c r="J19" s="12"/>
      <c r="K19" s="12"/>
      <c r="L19" s="12">
        <f>L10/H10-1</f>
        <v>2.556338028169014</v>
      </c>
      <c r="M19" s="12">
        <f>M10/I10-1</f>
        <v>1.13953488372093</v>
      </c>
      <c r="N19" s="12">
        <f t="shared" si="28"/>
        <v>1.1184573002754821</v>
      </c>
      <c r="O19" s="12">
        <f t="shared" si="28"/>
        <v>1.453125</v>
      </c>
      <c r="P19" s="12">
        <f t="shared" si="28"/>
        <v>1.2891089108910889</v>
      </c>
      <c r="Q19" s="12">
        <v>1</v>
      </c>
      <c r="R19" s="12">
        <v>1</v>
      </c>
      <c r="AB19" s="12">
        <f>AB10/AA10-1</f>
        <v>1.8560794044665014</v>
      </c>
      <c r="AC19" s="12">
        <f>AC10/AB10-1</f>
        <v>1.1390095569070375</v>
      </c>
      <c r="AD19" s="12">
        <v>1</v>
      </c>
      <c r="AE19" s="12">
        <v>0.7</v>
      </c>
      <c r="AF19" s="12">
        <v>0.7</v>
      </c>
      <c r="AG19" s="12">
        <v>0.7</v>
      </c>
      <c r="AH19" s="12">
        <v>0.35</v>
      </c>
      <c r="AI19" s="12">
        <v>0.35</v>
      </c>
      <c r="AJ19" s="12">
        <v>0.35</v>
      </c>
      <c r="AK19" s="12">
        <v>0.1</v>
      </c>
      <c r="AL19" s="12">
        <v>0.1</v>
      </c>
    </row>
    <row r="20" spans="2:38" x14ac:dyDescent="0.25">
      <c r="B20" s="5" t="s">
        <v>115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f t="shared" si="28"/>
        <v>1.2682926829268291</v>
      </c>
      <c r="O20" s="12">
        <f t="shared" si="28"/>
        <v>1.2619047619047619</v>
      </c>
      <c r="P20" s="12">
        <f t="shared" si="28"/>
        <v>2.1428571428571428</v>
      </c>
      <c r="Q20" s="12">
        <v>2</v>
      </c>
      <c r="R20" s="12">
        <v>2</v>
      </c>
      <c r="AB20" s="12">
        <f>AB11/AA11-1</f>
        <v>5.2682926829268295</v>
      </c>
      <c r="AC20" s="12">
        <f>AC11/AB11-1</f>
        <v>1.9066147859922178</v>
      </c>
      <c r="AD20" s="12">
        <v>1.5</v>
      </c>
      <c r="AE20" s="12">
        <v>1.5</v>
      </c>
      <c r="AF20" s="12">
        <v>1</v>
      </c>
      <c r="AG20" s="12">
        <v>0.75</v>
      </c>
      <c r="AH20" s="12">
        <v>0.5</v>
      </c>
      <c r="AI20" s="12">
        <v>0.25</v>
      </c>
      <c r="AJ20" s="12">
        <v>0.25</v>
      </c>
      <c r="AK20" s="12">
        <v>0.1</v>
      </c>
      <c r="AL20" s="12">
        <v>0.1</v>
      </c>
    </row>
    <row r="21" spans="2:38" x14ac:dyDescent="0.25">
      <c r="B21" s="5"/>
    </row>
    <row r="22" spans="2:38" x14ac:dyDescent="0.25">
      <c r="B22" s="5" t="s">
        <v>16</v>
      </c>
      <c r="C22" s="3">
        <v>844.4</v>
      </c>
      <c r="D22" s="3">
        <v>1024.2</v>
      </c>
      <c r="E22" s="3">
        <v>1112</v>
      </c>
      <c r="F22" s="3">
        <v>1211.8</v>
      </c>
      <c r="G22" s="3">
        <v>1413.9</v>
      </c>
      <c r="H22" s="3">
        <v>1661</v>
      </c>
      <c r="I22" s="3">
        <v>1948.2</v>
      </c>
      <c r="J22" s="3">
        <v>2056</v>
      </c>
      <c r="K22" s="3">
        <v>2416</v>
      </c>
      <c r="L22" s="3">
        <v>2848</v>
      </c>
      <c r="M22" s="3">
        <v>3288</v>
      </c>
      <c r="N22" s="3">
        <v>3562</v>
      </c>
      <c r="O22" s="3">
        <f>O13-O14-O15</f>
        <v>4206</v>
      </c>
      <c r="P22" s="3">
        <f t="shared" ref="P22:R22" si="30">P13-P14-P15</f>
        <v>4799</v>
      </c>
      <c r="Q22" s="3">
        <f t="shared" si="30"/>
        <v>5300.45</v>
      </c>
      <c r="R22" s="3">
        <f t="shared" si="30"/>
        <v>5818.45</v>
      </c>
      <c r="W22" s="3">
        <v>1162.874</v>
      </c>
      <c r="X22" s="3">
        <v>2336.3490000000002</v>
      </c>
      <c r="Y22" s="3">
        <v>1993.8</v>
      </c>
      <c r="Z22" s="3">
        <v>4192.3999999999996</v>
      </c>
      <c r="AA22" s="3">
        <v>7079.4</v>
      </c>
      <c r="AB22" s="3">
        <v>12114</v>
      </c>
      <c r="AC22" s="3">
        <f>SUM(O22:R22)</f>
        <v>20123.900000000001</v>
      </c>
      <c r="AD22" s="3">
        <f>AD13-AD14-AD15</f>
        <v>32405.629999999997</v>
      </c>
      <c r="AE22" s="3">
        <f t="shared" ref="AE22:AL22" si="31">AE13-AE14-AE15</f>
        <v>50726.565999999999</v>
      </c>
      <c r="AF22" s="3">
        <f t="shared" si="31"/>
        <v>78310.911199999988</v>
      </c>
      <c r="AG22" s="3">
        <f t="shared" si="31"/>
        <v>116136.79444</v>
      </c>
      <c r="AH22" s="3">
        <f t="shared" si="31"/>
        <v>155082.195228</v>
      </c>
      <c r="AI22" s="3">
        <f t="shared" si="31"/>
        <v>191913.22772219998</v>
      </c>
      <c r="AJ22" s="3">
        <f t="shared" si="31"/>
        <v>239239.65209403</v>
      </c>
      <c r="AK22" s="3">
        <f t="shared" si="31"/>
        <v>263294.71730343299</v>
      </c>
      <c r="AL22" s="3">
        <f t="shared" si="31"/>
        <v>289755.28903377632</v>
      </c>
    </row>
    <row r="23" spans="2:38" x14ac:dyDescent="0.25">
      <c r="B23" s="5" t="s">
        <v>17</v>
      </c>
      <c r="C23" s="3">
        <v>72.2</v>
      </c>
      <c r="D23" s="3">
        <v>136.80000000000001</v>
      </c>
      <c r="E23" s="3">
        <v>147.69999999999999</v>
      </c>
      <c r="F23" s="3">
        <v>138.21</v>
      </c>
      <c r="G23" s="3">
        <v>168.1</v>
      </c>
      <c r="H23" s="3">
        <v>170</v>
      </c>
      <c r="I23" s="3">
        <v>173.4</v>
      </c>
      <c r="J23" s="3">
        <v>171</v>
      </c>
      <c r="K23" s="3">
        <v>181</v>
      </c>
      <c r="L23" s="3">
        <v>212</v>
      </c>
      <c r="M23" s="3">
        <v>219</v>
      </c>
      <c r="N23" s="3">
        <v>235</v>
      </c>
      <c r="O23" s="3">
        <v>236</v>
      </c>
      <c r="P23" s="3">
        <v>221</v>
      </c>
      <c r="W23" s="3">
        <v>92.207999999999998</v>
      </c>
      <c r="X23" s="3">
        <v>149.411</v>
      </c>
      <c r="Y23" s="3">
        <v>124.6</v>
      </c>
      <c r="Z23" s="3">
        <v>494.2</v>
      </c>
      <c r="AA23" s="3">
        <v>681.5</v>
      </c>
      <c r="AB23" s="3">
        <v>847</v>
      </c>
      <c r="AC23" s="3">
        <f>SUM(O23:R23)</f>
        <v>457</v>
      </c>
      <c r="AD23" s="3">
        <v>0</v>
      </c>
      <c r="AE23" s="3">
        <f>AD54*$AP$57</f>
        <v>46.085940731199983</v>
      </c>
      <c r="AF23" s="3">
        <f>AE54*$AP$57</f>
        <v>147.52401593188651</v>
      </c>
      <c r="AG23" s="3">
        <f>AF54*$AP$57</f>
        <v>336.06273856813658</v>
      </c>
      <c r="AH23" s="3">
        <f>AG54*$AP$57</f>
        <v>648.38367902267771</v>
      </c>
      <c r="AI23" s="3">
        <f>AH54*$AP$57</f>
        <v>1087.3852053451724</v>
      </c>
      <c r="AJ23" s="3">
        <f>AI54*$AP$57</f>
        <v>1648.0763121818741</v>
      </c>
      <c r="AK23" s="3">
        <f>AJ54*$AP$57</f>
        <v>2369.9526598889906</v>
      </c>
      <c r="AL23" s="3">
        <f>AK54*$AP$57</f>
        <v>3164.5675898395543</v>
      </c>
    </row>
    <row r="24" spans="2:38" x14ac:dyDescent="0.25">
      <c r="B24" s="6" t="s">
        <v>18</v>
      </c>
      <c r="C24" s="8">
        <f t="shared" ref="C24:L24" si="32">C22+C23</f>
        <v>916.6</v>
      </c>
      <c r="D24" s="8">
        <f t="shared" si="32"/>
        <v>1161</v>
      </c>
      <c r="E24" s="8">
        <f t="shared" ref="E24" si="33">E22+E23</f>
        <v>1259.7</v>
      </c>
      <c r="F24" s="8">
        <f t="shared" ref="F24" si="34">F22+F23</f>
        <v>1350.01</v>
      </c>
      <c r="G24" s="8">
        <f t="shared" ref="G24" si="35">G22+G23</f>
        <v>1582</v>
      </c>
      <c r="H24" s="8">
        <f t="shared" ref="H24" si="36">H22+H23</f>
        <v>1831</v>
      </c>
      <c r="I24" s="8">
        <f t="shared" ref="I24" si="37">I22+I23</f>
        <v>2121.6</v>
      </c>
      <c r="J24" s="8">
        <f t="shared" si="32"/>
        <v>2227</v>
      </c>
      <c r="K24" s="8">
        <f t="shared" si="32"/>
        <v>2597</v>
      </c>
      <c r="L24" s="8">
        <f t="shared" si="32"/>
        <v>3060</v>
      </c>
      <c r="M24" s="8">
        <f>M22+M23</f>
        <v>3507</v>
      </c>
      <c r="N24" s="8">
        <f>N22+N23</f>
        <v>3797</v>
      </c>
      <c r="O24" s="8">
        <f>O22+O23</f>
        <v>4442</v>
      </c>
      <c r="P24" s="8">
        <f>P22+P23</f>
        <v>5020</v>
      </c>
      <c r="Q24" s="8">
        <f t="shared" ref="P24:R24" si="38">Q22+Q23</f>
        <v>5300.45</v>
      </c>
      <c r="R24" s="8">
        <f t="shared" si="38"/>
        <v>5818.45</v>
      </c>
      <c r="W24" s="8">
        <f t="shared" ref="W24:Z24" si="39">W22+W23</f>
        <v>1255.0820000000001</v>
      </c>
      <c r="X24" s="8">
        <f t="shared" si="39"/>
        <v>2485.7600000000002</v>
      </c>
      <c r="Y24" s="8">
        <f t="shared" si="39"/>
        <v>2118.4</v>
      </c>
      <c r="Z24" s="8">
        <f t="shared" si="39"/>
        <v>4686.5999999999995</v>
      </c>
      <c r="AA24" s="8">
        <f>AA22+AA23</f>
        <v>7760.9</v>
      </c>
      <c r="AB24" s="8">
        <f>AB22+AB23</f>
        <v>12961</v>
      </c>
      <c r="AC24" s="8">
        <f t="shared" ref="AC24:AL24" si="40">AC22+AC23</f>
        <v>20580.900000000001</v>
      </c>
      <c r="AD24" s="8">
        <f t="shared" si="40"/>
        <v>32405.629999999997</v>
      </c>
      <c r="AE24" s="8">
        <f t="shared" si="40"/>
        <v>50772.651940731201</v>
      </c>
      <c r="AF24" s="8">
        <f t="shared" si="40"/>
        <v>78458.435215931881</v>
      </c>
      <c r="AG24" s="8">
        <f t="shared" si="40"/>
        <v>116472.85717856814</v>
      </c>
      <c r="AH24" s="8">
        <f t="shared" si="40"/>
        <v>155730.57890702266</v>
      </c>
      <c r="AI24" s="8">
        <f t="shared" si="40"/>
        <v>193000.61292754515</v>
      </c>
      <c r="AJ24" s="8">
        <f t="shared" si="40"/>
        <v>240887.72840621186</v>
      </c>
      <c r="AK24" s="8">
        <f t="shared" si="40"/>
        <v>265664.669963322</v>
      </c>
      <c r="AL24" s="8">
        <f t="shared" si="40"/>
        <v>292919.85662361589</v>
      </c>
    </row>
    <row r="25" spans="2:38" x14ac:dyDescent="0.25">
      <c r="B25" s="5" t="s">
        <v>33</v>
      </c>
      <c r="C25" s="3">
        <v>0</v>
      </c>
      <c r="D25" s="3">
        <v>0</v>
      </c>
      <c r="E25" s="3">
        <v>549.70000000000005</v>
      </c>
      <c r="F25" s="3">
        <v>545.1</v>
      </c>
      <c r="G25" s="3">
        <v>572.4</v>
      </c>
      <c r="H25" s="3">
        <v>590</v>
      </c>
      <c r="I25" s="3">
        <v>654.9</v>
      </c>
      <c r="J25" s="3">
        <v>719</v>
      </c>
      <c r="K25" s="3">
        <v>810</v>
      </c>
      <c r="L25" s="3">
        <v>919</v>
      </c>
      <c r="M25" s="3">
        <v>1068</v>
      </c>
      <c r="N25" s="3">
        <v>1118</v>
      </c>
      <c r="O25" s="3">
        <v>1328</v>
      </c>
      <c r="P25" s="3">
        <v>1398</v>
      </c>
      <c r="W25" s="3">
        <v>0</v>
      </c>
      <c r="X25" s="3">
        <v>0</v>
      </c>
      <c r="Y25" s="3">
        <v>528.29999999999995</v>
      </c>
      <c r="Z25" s="3">
        <v>1814.1</v>
      </c>
      <c r="AA25" s="3">
        <v>2536.9</v>
      </c>
      <c r="AB25" s="3">
        <v>3915</v>
      </c>
      <c r="AC25" s="3">
        <f>AC24-AC26</f>
        <v>6061.6700000000037</v>
      </c>
      <c r="AD25" s="3">
        <f t="shared" ref="AD25:AL25" si="41">AD24-AD26</f>
        <v>9721.6890000000021</v>
      </c>
      <c r="AE25" s="3">
        <f t="shared" si="41"/>
        <v>15231.795582219362</v>
      </c>
      <c r="AF25" s="3">
        <f t="shared" si="41"/>
        <v>23537.530564779569</v>
      </c>
      <c r="AG25" s="3">
        <f t="shared" si="41"/>
        <v>34941.857153570454</v>
      </c>
      <c r="AH25" s="3">
        <f t="shared" si="41"/>
        <v>46719.173672106801</v>
      </c>
      <c r="AI25" s="3">
        <f t="shared" si="41"/>
        <v>57900.183878263546</v>
      </c>
      <c r="AJ25" s="3">
        <f t="shared" si="41"/>
        <v>72266.318521863577</v>
      </c>
      <c r="AK25" s="3">
        <f t="shared" si="41"/>
        <v>79699.400988996611</v>
      </c>
      <c r="AL25" s="3">
        <f t="shared" si="41"/>
        <v>87875.956987084792</v>
      </c>
    </row>
    <row r="26" spans="2:38" x14ac:dyDescent="0.25">
      <c r="B26" s="6" t="s">
        <v>34</v>
      </c>
      <c r="C26" s="8">
        <f t="shared" ref="C26:L26" si="42">C24-C25</f>
        <v>916.6</v>
      </c>
      <c r="D26" s="8">
        <f t="shared" si="42"/>
        <v>1161</v>
      </c>
      <c r="E26" s="8">
        <f t="shared" ref="E26" si="43">E24-E25</f>
        <v>710</v>
      </c>
      <c r="F26" s="8">
        <f t="shared" ref="F26" si="44">F24-F25</f>
        <v>804.91</v>
      </c>
      <c r="G26" s="8">
        <f t="shared" ref="G26" si="45">G24-G25</f>
        <v>1009.6</v>
      </c>
      <c r="H26" s="8">
        <f t="shared" ref="H26" si="46">H24-H25</f>
        <v>1241</v>
      </c>
      <c r="I26" s="8">
        <f t="shared" ref="I26" si="47">I24-I25</f>
        <v>1466.6999999999998</v>
      </c>
      <c r="J26" s="8">
        <f t="shared" si="42"/>
        <v>1508</v>
      </c>
      <c r="K26" s="8">
        <f t="shared" si="42"/>
        <v>1787</v>
      </c>
      <c r="L26" s="8">
        <f t="shared" si="42"/>
        <v>2141</v>
      </c>
      <c r="M26" s="8">
        <f>M24-M25</f>
        <v>2439</v>
      </c>
      <c r="N26" s="8">
        <f>N24-N25</f>
        <v>2679</v>
      </c>
      <c r="O26" s="8">
        <f>O24-O25</f>
        <v>3114</v>
      </c>
      <c r="P26" s="8">
        <f>P24-P25</f>
        <v>3622</v>
      </c>
      <c r="Q26" s="8">
        <f t="shared" ref="P26:R26" si="48">Q24*Q45</f>
        <v>3710.3149999999996</v>
      </c>
      <c r="R26" s="8">
        <f t="shared" si="48"/>
        <v>4072.9149999999995</v>
      </c>
      <c r="W26" s="8">
        <f>W24-W25</f>
        <v>1255.0820000000001</v>
      </c>
      <c r="X26" s="8">
        <f t="shared" ref="X26:Z26" si="49">X24-X25</f>
        <v>2485.7600000000002</v>
      </c>
      <c r="Y26" s="8">
        <f t="shared" si="49"/>
        <v>1590.1000000000001</v>
      </c>
      <c r="Z26" s="8">
        <f t="shared" si="49"/>
        <v>2872.4999999999995</v>
      </c>
      <c r="AA26" s="8">
        <f>AA24-AA25</f>
        <v>5224</v>
      </c>
      <c r="AB26" s="8">
        <f>AB24-AB25</f>
        <v>9046</v>
      </c>
      <c r="AC26" s="8">
        <f>SUM(O26:R26)</f>
        <v>14519.229999999998</v>
      </c>
      <c r="AD26" s="8">
        <f>AD24*AD45</f>
        <v>22683.940999999995</v>
      </c>
      <c r="AE26" s="8">
        <f t="shared" ref="AE26:AL26" si="50">AE24*AE45</f>
        <v>35540.856358511839</v>
      </c>
      <c r="AF26" s="8">
        <f t="shared" si="50"/>
        <v>54920.904651152312</v>
      </c>
      <c r="AG26" s="8">
        <f t="shared" si="50"/>
        <v>81531.000024997687</v>
      </c>
      <c r="AH26" s="8">
        <f t="shared" si="50"/>
        <v>109011.40523491586</v>
      </c>
      <c r="AI26" s="8">
        <f t="shared" si="50"/>
        <v>135100.42904928161</v>
      </c>
      <c r="AJ26" s="8">
        <f t="shared" si="50"/>
        <v>168621.40988434828</v>
      </c>
      <c r="AK26" s="8">
        <f t="shared" si="50"/>
        <v>185965.26897432539</v>
      </c>
      <c r="AL26" s="8">
        <f t="shared" si="50"/>
        <v>205043.8996365311</v>
      </c>
    </row>
    <row r="27" spans="2:38" x14ac:dyDescent="0.25">
      <c r="B27" s="5" t="s">
        <v>19</v>
      </c>
      <c r="C27" s="3">
        <v>74.7</v>
      </c>
      <c r="D27" s="3">
        <v>117.2</v>
      </c>
      <c r="E27" s="3">
        <v>166.6</v>
      </c>
      <c r="F27" s="3">
        <v>193.9</v>
      </c>
      <c r="G27" s="3">
        <v>261</v>
      </c>
      <c r="H27" s="3">
        <v>347</v>
      </c>
      <c r="I27" s="3">
        <v>392.7</v>
      </c>
      <c r="J27" s="3">
        <v>438</v>
      </c>
      <c r="K27" s="3">
        <v>557</v>
      </c>
      <c r="L27" s="3">
        <v>685</v>
      </c>
      <c r="M27" s="3">
        <v>783</v>
      </c>
      <c r="N27" s="3">
        <v>862</v>
      </c>
      <c r="O27" s="3">
        <v>1116</v>
      </c>
      <c r="P27" s="3">
        <v>1369</v>
      </c>
      <c r="Q27" s="3">
        <f t="shared" ref="P27:R27" si="51">Q24*Q47</f>
        <v>1325.1125</v>
      </c>
      <c r="R27" s="3">
        <f t="shared" si="51"/>
        <v>1454.6125</v>
      </c>
      <c r="W27" s="3">
        <v>0</v>
      </c>
      <c r="X27" s="3">
        <v>0</v>
      </c>
      <c r="Y27" s="3">
        <v>202.9</v>
      </c>
      <c r="Z27" s="3">
        <v>552.4</v>
      </c>
      <c r="AA27" s="3">
        <v>1438.2</v>
      </c>
      <c r="AB27" s="3">
        <v>2887</v>
      </c>
      <c r="AC27" s="3">
        <f>SUM(O27:R27)</f>
        <v>5264.7250000000004</v>
      </c>
      <c r="AD27" s="3">
        <f>AD26*AD47</f>
        <v>5217.3064299999987</v>
      </c>
      <c r="AE27" s="3">
        <f t="shared" ref="AE27:AL27" si="52">AE26*AE47</f>
        <v>8174.396962457723</v>
      </c>
      <c r="AF27" s="3">
        <f t="shared" si="52"/>
        <v>12631.808069765033</v>
      </c>
      <c r="AG27" s="3">
        <f t="shared" si="52"/>
        <v>18752.13000574947</v>
      </c>
      <c r="AH27" s="3">
        <f t="shared" si="52"/>
        <v>25072.62320403065</v>
      </c>
      <c r="AI27" s="3">
        <f t="shared" si="52"/>
        <v>31073.09868133477</v>
      </c>
      <c r="AJ27" s="3">
        <f t="shared" si="52"/>
        <v>38782.924273400109</v>
      </c>
      <c r="AK27" s="3">
        <f t="shared" si="52"/>
        <v>42772.011864094842</v>
      </c>
      <c r="AL27" s="3">
        <f t="shared" si="52"/>
        <v>47160.096916402159</v>
      </c>
    </row>
    <row r="28" spans="2:38" x14ac:dyDescent="0.25">
      <c r="B28" s="5" t="s">
        <v>20</v>
      </c>
      <c r="C28" s="3">
        <v>-0.3</v>
      </c>
      <c r="D28" s="3">
        <v>-6.8</v>
      </c>
      <c r="E28" s="3">
        <v>-13</v>
      </c>
      <c r="F28" s="3">
        <v>-7.7</v>
      </c>
      <c r="G28" s="3">
        <v>-7.2</v>
      </c>
      <c r="H28" s="3">
        <v>-35</v>
      </c>
      <c r="I28" s="3">
        <v>-2.7</v>
      </c>
      <c r="J28" s="3">
        <v>2</v>
      </c>
      <c r="K28" s="3">
        <v>5</v>
      </c>
      <c r="L28" s="3">
        <v>-11</v>
      </c>
      <c r="M28" s="3">
        <v>-1</v>
      </c>
      <c r="N28" s="3">
        <v>2</v>
      </c>
      <c r="O28" s="3">
        <v>-17</v>
      </c>
      <c r="P28" s="3">
        <v>-35</v>
      </c>
      <c r="Q28" s="3">
        <v>0</v>
      </c>
      <c r="R28" s="3">
        <v>0</v>
      </c>
      <c r="W28" s="3">
        <v>0</v>
      </c>
      <c r="X28" s="3">
        <v>0</v>
      </c>
      <c r="Y28" s="3">
        <v>-11</v>
      </c>
      <c r="Z28" s="3">
        <v>-27.8</v>
      </c>
      <c r="AA28" s="3">
        <v>-43</v>
      </c>
      <c r="AB28" s="3">
        <v>-5</v>
      </c>
      <c r="AC28" s="3">
        <f t="shared" ref="AC28:AC33" si="53">SUM(O28:R28)</f>
        <v>-52</v>
      </c>
      <c r="AD28" s="3">
        <f>AC28</f>
        <v>-52</v>
      </c>
      <c r="AE28" s="3">
        <f t="shared" ref="AE28:AL28" si="54">AD28</f>
        <v>-52</v>
      </c>
      <c r="AF28" s="3">
        <f t="shared" si="54"/>
        <v>-52</v>
      </c>
      <c r="AG28" s="3">
        <f t="shared" si="54"/>
        <v>-52</v>
      </c>
      <c r="AH28" s="3">
        <f t="shared" si="54"/>
        <v>-52</v>
      </c>
      <c r="AI28" s="3">
        <f t="shared" si="54"/>
        <v>-52</v>
      </c>
      <c r="AJ28" s="3">
        <f t="shared" si="54"/>
        <v>-52</v>
      </c>
      <c r="AK28" s="3">
        <f t="shared" si="54"/>
        <v>-52</v>
      </c>
      <c r="AL28" s="3">
        <f t="shared" si="54"/>
        <v>-52</v>
      </c>
    </row>
    <row r="29" spans="2:38" x14ac:dyDescent="0.25">
      <c r="B29" s="5" t="s">
        <v>21</v>
      </c>
      <c r="C29" s="3">
        <v>390.7</v>
      </c>
      <c r="D29" s="3">
        <v>424.1</v>
      </c>
      <c r="E29" s="3">
        <v>411.5</v>
      </c>
      <c r="F29" s="3">
        <v>406.8</v>
      </c>
      <c r="G29" s="3">
        <v>348.9</v>
      </c>
      <c r="H29" s="3">
        <v>381</v>
      </c>
      <c r="I29" s="3">
        <v>395</v>
      </c>
      <c r="J29" s="3">
        <v>340</v>
      </c>
      <c r="K29" s="3">
        <v>338</v>
      </c>
      <c r="L29" s="3">
        <v>417</v>
      </c>
      <c r="M29" s="3">
        <v>423</v>
      </c>
      <c r="N29" s="3">
        <v>481</v>
      </c>
      <c r="O29" s="3">
        <v>529</v>
      </c>
      <c r="P29" s="3">
        <v>590</v>
      </c>
      <c r="Q29" s="3">
        <f t="shared" ref="Q29:R29" si="55">P29*(1+Q48)</f>
        <v>649</v>
      </c>
      <c r="R29" s="3">
        <f t="shared" si="55"/>
        <v>713.90000000000009</v>
      </c>
      <c r="W29" s="3">
        <v>467.25200000000001</v>
      </c>
      <c r="X29" s="3">
        <v>621.01</v>
      </c>
      <c r="Y29" s="3">
        <v>740.8</v>
      </c>
      <c r="Z29" s="3">
        <v>1633.1</v>
      </c>
      <c r="AA29" s="3">
        <v>1465</v>
      </c>
      <c r="AB29" s="3">
        <v>1659</v>
      </c>
      <c r="AC29" s="3">
        <f t="shared" si="53"/>
        <v>2481.9</v>
      </c>
      <c r="AD29" s="3">
        <f>AC29*(1+AD48)</f>
        <v>2730.09</v>
      </c>
      <c r="AE29" s="3">
        <f t="shared" ref="AE29:AL29" si="56">AD29*(1+AE48)</f>
        <v>3003.0990000000006</v>
      </c>
      <c r="AF29" s="3">
        <f t="shared" si="56"/>
        <v>3303.4089000000008</v>
      </c>
      <c r="AG29" s="3">
        <f t="shared" si="56"/>
        <v>3633.7497900000012</v>
      </c>
      <c r="AH29" s="3">
        <f t="shared" si="56"/>
        <v>3997.1247690000018</v>
      </c>
      <c r="AI29" s="3">
        <f t="shared" si="56"/>
        <v>4356.8659982100025</v>
      </c>
      <c r="AJ29" s="3">
        <f t="shared" si="56"/>
        <v>4748.9839380489029</v>
      </c>
      <c r="AK29" s="3">
        <f t="shared" si="56"/>
        <v>5128.9026530928159</v>
      </c>
      <c r="AL29" s="3">
        <f t="shared" si="56"/>
        <v>5539.2148653402419</v>
      </c>
    </row>
    <row r="30" spans="2:38" x14ac:dyDescent="0.25">
      <c r="B30" s="5" t="s">
        <v>22</v>
      </c>
      <c r="C30" s="3">
        <v>3.3</v>
      </c>
      <c r="D30" s="3">
        <v>3.1</v>
      </c>
      <c r="E30" s="3">
        <v>3.1</v>
      </c>
      <c r="F30" s="3">
        <v>2.5</v>
      </c>
      <c r="G30" s="3">
        <v>4.9000000000000004</v>
      </c>
      <c r="H30" s="3">
        <v>12</v>
      </c>
      <c r="I30" s="3">
        <v>16.100000000000001</v>
      </c>
      <c r="J30" s="3">
        <v>15</v>
      </c>
      <c r="K30" s="3">
        <v>18</v>
      </c>
      <c r="L30" s="3">
        <v>16</v>
      </c>
      <c r="M30" s="3">
        <v>18</v>
      </c>
      <c r="N30" s="3">
        <v>20</v>
      </c>
      <c r="O30" s="3">
        <v>25</v>
      </c>
      <c r="P30" s="3">
        <v>30</v>
      </c>
      <c r="Q30" s="3">
        <f>P30*(1+Q49)</f>
        <v>33</v>
      </c>
      <c r="R30" s="3">
        <f>Q30*(1+R49)</f>
        <v>36.300000000000004</v>
      </c>
      <c r="W30" s="3">
        <v>58.505000000000003</v>
      </c>
      <c r="X30" s="3">
        <v>11.125999999999999</v>
      </c>
      <c r="Y30" s="3">
        <v>10.1</v>
      </c>
      <c r="Z30" s="3">
        <v>12</v>
      </c>
      <c r="AA30" s="3">
        <v>48.7</v>
      </c>
      <c r="AB30" s="3">
        <v>72</v>
      </c>
      <c r="AC30" s="3">
        <f t="shared" si="53"/>
        <v>124.30000000000001</v>
      </c>
      <c r="AD30" s="3">
        <f>AC30*(1+AD49)</f>
        <v>142.94499999999999</v>
      </c>
      <c r="AE30" s="3">
        <f t="shared" ref="AE30:AL30" si="57">AD30*(1+AE49)</f>
        <v>160.0984</v>
      </c>
      <c r="AF30" s="3">
        <f t="shared" si="57"/>
        <v>176.10824000000002</v>
      </c>
      <c r="AG30" s="3">
        <f t="shared" si="57"/>
        <v>193.71906400000003</v>
      </c>
      <c r="AH30" s="3">
        <f t="shared" si="57"/>
        <v>207.27939848000005</v>
      </c>
      <c r="AI30" s="3">
        <f t="shared" si="57"/>
        <v>217.64336840400006</v>
      </c>
      <c r="AJ30" s="3">
        <f t="shared" si="57"/>
        <v>228.52553682420006</v>
      </c>
      <c r="AK30" s="3">
        <f t="shared" si="57"/>
        <v>239.95181366541007</v>
      </c>
      <c r="AL30" s="3">
        <f t="shared" si="57"/>
        <v>251.94940434868059</v>
      </c>
    </row>
    <row r="31" spans="2:38" x14ac:dyDescent="0.25">
      <c r="B31" s="5" t="s">
        <v>23</v>
      </c>
      <c r="C31" s="3">
        <v>35.5</v>
      </c>
      <c r="D31" s="3">
        <v>38.4</v>
      </c>
      <c r="E31" s="3">
        <v>38.700000000000003</v>
      </c>
      <c r="F31" s="3">
        <v>37.700000000000003</v>
      </c>
      <c r="G31" s="3">
        <v>41.6</v>
      </c>
      <c r="H31" s="3">
        <v>107</v>
      </c>
      <c r="I31" s="3">
        <v>154.80000000000001</v>
      </c>
      <c r="J31" s="3">
        <v>134</v>
      </c>
      <c r="K31" s="3">
        <v>130</v>
      </c>
      <c r="L31" s="3">
        <v>128</v>
      </c>
      <c r="M31" s="3">
        <v>128</v>
      </c>
      <c r="N31" s="3">
        <v>140</v>
      </c>
      <c r="O31" s="3">
        <v>149</v>
      </c>
      <c r="P31" s="3">
        <v>180</v>
      </c>
      <c r="Q31" s="3">
        <f>Q26*Q50</f>
        <v>185.51575</v>
      </c>
      <c r="R31" s="3">
        <f>R26*R50</f>
        <v>203.64574999999999</v>
      </c>
      <c r="W31" s="3">
        <v>23.192</v>
      </c>
      <c r="X31" s="3">
        <v>73.597999999999999</v>
      </c>
      <c r="Y31" s="3">
        <v>137.69999999999999</v>
      </c>
      <c r="Z31" s="3">
        <v>150.30000000000001</v>
      </c>
      <c r="AA31" s="3">
        <v>436.9</v>
      </c>
      <c r="AB31" s="3">
        <v>526</v>
      </c>
      <c r="AC31" s="3">
        <f t="shared" si="53"/>
        <v>718.16150000000005</v>
      </c>
      <c r="AD31" s="3">
        <f>AD24*AD50</f>
        <v>1296.2251999999999</v>
      </c>
      <c r="AE31" s="3">
        <f t="shared" ref="AE31:AL31" si="58">AE24*AE50</f>
        <v>2030.9060776292481</v>
      </c>
      <c r="AF31" s="3">
        <f t="shared" si="58"/>
        <v>3138.3374086372751</v>
      </c>
      <c r="AG31" s="3">
        <f t="shared" si="58"/>
        <v>4658.9142871427257</v>
      </c>
      <c r="AH31" s="3">
        <f t="shared" si="58"/>
        <v>6229.2231562809066</v>
      </c>
      <c r="AI31" s="3">
        <f t="shared" si="58"/>
        <v>7720.0245171018059</v>
      </c>
      <c r="AJ31" s="3">
        <f t="shared" si="58"/>
        <v>9635.5091362484745</v>
      </c>
      <c r="AK31" s="3">
        <f t="shared" si="58"/>
        <v>10626.58679853288</v>
      </c>
      <c r="AL31" s="3">
        <f t="shared" si="58"/>
        <v>11716.794264944636</v>
      </c>
    </row>
    <row r="32" spans="2:38" x14ac:dyDescent="0.25">
      <c r="B32" s="5" t="s">
        <v>24</v>
      </c>
      <c r="C32" s="3">
        <v>0</v>
      </c>
      <c r="D32" s="3">
        <v>0</v>
      </c>
      <c r="E32" s="3">
        <v>258.2</v>
      </c>
      <c r="F32" s="3">
        <v>269.10000000000002</v>
      </c>
      <c r="G32" s="3">
        <v>277.60000000000002</v>
      </c>
      <c r="H32" s="3">
        <v>300</v>
      </c>
      <c r="I32" s="3">
        <v>347.9</v>
      </c>
      <c r="J32" s="3">
        <v>302</v>
      </c>
      <c r="K32" s="3">
        <v>314</v>
      </c>
      <c r="L32" s="3">
        <v>355</v>
      </c>
      <c r="M32" s="3">
        <v>374</v>
      </c>
      <c r="N32" s="3">
        <v>389</v>
      </c>
      <c r="O32" s="3">
        <v>396</v>
      </c>
      <c r="P32" s="3">
        <v>421</v>
      </c>
      <c r="Q32" s="3">
        <f t="shared" ref="Q32:R33" si="59">P32*(1+Q51)</f>
        <v>442.05</v>
      </c>
      <c r="R32" s="3">
        <f t="shared" si="59"/>
        <v>464.15250000000003</v>
      </c>
      <c r="W32" s="3">
        <v>0</v>
      </c>
      <c r="X32" s="3">
        <v>1326.6869999999999</v>
      </c>
      <c r="Y32" s="3">
        <v>527.1</v>
      </c>
      <c r="Z32" s="3">
        <v>1216.8</v>
      </c>
      <c r="AA32" s="3">
        <v>1227.4000000000001</v>
      </c>
      <c r="AB32" s="3">
        <v>1432</v>
      </c>
      <c r="AC32" s="3">
        <f t="shared" si="53"/>
        <v>1723.2024999999999</v>
      </c>
      <c r="AD32" s="3">
        <f>AC32*(1+AD51)</f>
        <v>2240.1632500000001</v>
      </c>
      <c r="AE32" s="3">
        <f t="shared" ref="AE32:AL32" si="60">AD32*(1+AE51)</f>
        <v>2912.2122250000002</v>
      </c>
      <c r="AF32" s="3">
        <f t="shared" si="60"/>
        <v>3640.26528125</v>
      </c>
      <c r="AG32" s="3">
        <f t="shared" si="60"/>
        <v>4368.3183374999999</v>
      </c>
      <c r="AH32" s="3">
        <f t="shared" si="60"/>
        <v>5023.5660881249996</v>
      </c>
      <c r="AI32" s="3">
        <f t="shared" si="60"/>
        <v>5525.9226969375004</v>
      </c>
      <c r="AJ32" s="3">
        <f t="shared" si="60"/>
        <v>5802.2188317843757</v>
      </c>
      <c r="AK32" s="3">
        <f t="shared" si="60"/>
        <v>6092.3297733735944</v>
      </c>
      <c r="AL32" s="3">
        <f t="shared" si="60"/>
        <v>6396.9462620422746</v>
      </c>
    </row>
    <row r="33" spans="2:209" x14ac:dyDescent="0.25">
      <c r="B33" s="5" t="s">
        <v>17</v>
      </c>
      <c r="C33" s="3">
        <v>755.8</v>
      </c>
      <c r="D33" s="3">
        <v>1025.5</v>
      </c>
      <c r="E33" s="3">
        <v>227.8</v>
      </c>
      <c r="F33" s="3">
        <v>254.3</v>
      </c>
      <c r="G33" s="3">
        <v>268.5</v>
      </c>
      <c r="H33" s="3">
        <v>390</v>
      </c>
      <c r="I33" s="3">
        <v>526.6</v>
      </c>
      <c r="J33" s="3">
        <v>481</v>
      </c>
      <c r="K33" s="3">
        <v>440</v>
      </c>
      <c r="L33" s="3">
        <v>530</v>
      </c>
      <c r="M33" s="3">
        <v>590</v>
      </c>
      <c r="N33" s="3">
        <v>624</v>
      </c>
      <c r="O33" s="3">
        <v>677</v>
      </c>
      <c r="P33" s="3">
        <v>830</v>
      </c>
      <c r="Q33" s="3">
        <f t="shared" si="59"/>
        <v>913.00000000000011</v>
      </c>
      <c r="R33" s="3">
        <f t="shared" si="59"/>
        <v>1004.3000000000002</v>
      </c>
      <c r="W33" s="3">
        <v>2834.616</v>
      </c>
      <c r="X33" s="3">
        <f>3922.025-X32-X25</f>
        <v>2595.3380000000002</v>
      </c>
      <c r="Y33" s="3">
        <f>1528.3-Y32-Y25</f>
        <v>472.9</v>
      </c>
      <c r="Z33" s="3">
        <f>3885.5-Z32-Z25</f>
        <v>854.59999999999991</v>
      </c>
      <c r="AA33" s="3">
        <f>5429.5-AA32-AA25</f>
        <v>1665.2000000000003</v>
      </c>
      <c r="AB33" s="3">
        <v>2184</v>
      </c>
      <c r="AC33" s="3">
        <f t="shared" si="53"/>
        <v>3424.3</v>
      </c>
      <c r="AD33" s="3">
        <f>AC33*(1+AD52)</f>
        <v>4451.59</v>
      </c>
      <c r="AE33" s="3">
        <f t="shared" ref="AE33:AL33" si="61">AD33*(1+AE52)</f>
        <v>5787.067</v>
      </c>
      <c r="AF33" s="3">
        <f t="shared" si="61"/>
        <v>6944.4803999999995</v>
      </c>
      <c r="AG33" s="3">
        <f t="shared" si="61"/>
        <v>8333.376479999999</v>
      </c>
      <c r="AH33" s="3">
        <f t="shared" si="61"/>
        <v>10000.051775999998</v>
      </c>
      <c r="AI33" s="3">
        <f t="shared" si="61"/>
        <v>11500.059542399997</v>
      </c>
      <c r="AJ33" s="3">
        <f t="shared" si="61"/>
        <v>13225.068473759995</v>
      </c>
      <c r="AK33" s="3">
        <f t="shared" si="61"/>
        <v>15208.828744823993</v>
      </c>
      <c r="AL33" s="3">
        <f t="shared" si="61"/>
        <v>17490.153056547591</v>
      </c>
    </row>
    <row r="34" spans="2:209" x14ac:dyDescent="0.25">
      <c r="B34" s="5" t="s">
        <v>25</v>
      </c>
      <c r="C34" s="8">
        <f>SUM(C27:C33)</f>
        <v>1259.7</v>
      </c>
      <c r="D34" s="8">
        <f t="shared" ref="D34:L34" si="62">SUM(D27:D33)</f>
        <v>1601.5</v>
      </c>
      <c r="E34" s="8">
        <f t="shared" ref="E34" si="63">SUM(E27:E33)</f>
        <v>1092.9000000000001</v>
      </c>
      <c r="F34" s="8">
        <f t="shared" ref="F34" si="64">SUM(F27:F33)</f>
        <v>1156.6000000000001</v>
      </c>
      <c r="G34" s="8">
        <f t="shared" ref="G34" si="65">SUM(G27:G33)</f>
        <v>1195.3000000000002</v>
      </c>
      <c r="H34" s="8">
        <f t="shared" ref="H34" si="66">SUM(H27:H33)</f>
        <v>1502</v>
      </c>
      <c r="I34" s="8">
        <f t="shared" ref="I34" si="67">SUM(I27:I33)</f>
        <v>1830.4</v>
      </c>
      <c r="J34" s="8">
        <f t="shared" si="62"/>
        <v>1712</v>
      </c>
      <c r="K34" s="8">
        <f t="shared" si="62"/>
        <v>1802</v>
      </c>
      <c r="L34" s="8">
        <f t="shared" si="62"/>
        <v>2120</v>
      </c>
      <c r="M34" s="8">
        <f>SUM(M27:M33)</f>
        <v>2315</v>
      </c>
      <c r="N34" s="8">
        <f>SUM(N27:N33)</f>
        <v>2518</v>
      </c>
      <c r="O34" s="8">
        <f>SUM(O27:O33)</f>
        <v>2875</v>
      </c>
      <c r="P34" s="8">
        <f t="shared" ref="P34:R34" si="68">SUM(P27:P33)</f>
        <v>3385</v>
      </c>
      <c r="Q34" s="8">
        <f t="shared" si="68"/>
        <v>3547.6782499999999</v>
      </c>
      <c r="R34" s="8">
        <f t="shared" si="68"/>
        <v>3876.9107500000005</v>
      </c>
      <c r="W34" s="8">
        <f>SUM(W27:W33)</f>
        <v>3383.5650000000001</v>
      </c>
      <c r="X34" s="8">
        <f t="shared" ref="X34:Z34" si="69">SUM(X27:X33)</f>
        <v>4627.759</v>
      </c>
      <c r="Y34" s="8">
        <f t="shared" si="69"/>
        <v>2080.5</v>
      </c>
      <c r="Z34" s="8">
        <f t="shared" si="69"/>
        <v>4391.3999999999996</v>
      </c>
      <c r="AA34" s="8">
        <f>SUM(AA27:AA33)</f>
        <v>6238.4</v>
      </c>
      <c r="AB34" s="8">
        <f>SUM(AB27:AB33)</f>
        <v>8755</v>
      </c>
      <c r="AC34" s="8">
        <f>SUM(AC27:AC33)</f>
        <v>13684.589</v>
      </c>
      <c r="AD34" s="8">
        <f t="shared" ref="AD34:AL34" si="70">SUM(AD27:AD33)</f>
        <v>16026.319879999997</v>
      </c>
      <c r="AE34" s="8">
        <f t="shared" si="70"/>
        <v>22015.779665086971</v>
      </c>
      <c r="AF34" s="8">
        <f t="shared" si="70"/>
        <v>29782.408299652307</v>
      </c>
      <c r="AG34" s="8">
        <f t="shared" si="70"/>
        <v>39888.207964392197</v>
      </c>
      <c r="AH34" s="8">
        <f t="shared" si="70"/>
        <v>50477.868391916563</v>
      </c>
      <c r="AI34" s="8">
        <f t="shared" si="70"/>
        <v>60341.614804388075</v>
      </c>
      <c r="AJ34" s="8">
        <f t="shared" si="70"/>
        <v>72371.230190066068</v>
      </c>
      <c r="AK34" s="8">
        <f t="shared" si="70"/>
        <v>80016.611647583544</v>
      </c>
      <c r="AL34" s="8">
        <f t="shared" si="70"/>
        <v>88503.154769625573</v>
      </c>
    </row>
    <row r="35" spans="2:209" x14ac:dyDescent="0.25">
      <c r="B35" s="5" t="s">
        <v>26</v>
      </c>
      <c r="C35" s="8">
        <f t="shared" ref="C35:L35" si="71">C26-C34</f>
        <v>-343.1</v>
      </c>
      <c r="D35" s="8">
        <f t="shared" si="71"/>
        <v>-440.5</v>
      </c>
      <c r="E35" s="8">
        <f t="shared" ref="E35" si="72">E26-E34</f>
        <v>-382.90000000000009</v>
      </c>
      <c r="F35" s="8">
        <f t="shared" ref="F35" si="73">F26-F34</f>
        <v>-351.69000000000017</v>
      </c>
      <c r="G35" s="8">
        <f t="shared" ref="G35" si="74">G26-G34</f>
        <v>-185.70000000000016</v>
      </c>
      <c r="H35" s="8">
        <f t="shared" ref="H35" si="75">H26-H34</f>
        <v>-261</v>
      </c>
      <c r="I35" s="8">
        <f t="shared" ref="I35" si="76">I26-I34</f>
        <v>-363.70000000000027</v>
      </c>
      <c r="J35" s="8">
        <f t="shared" si="71"/>
        <v>-204</v>
      </c>
      <c r="K35" s="8">
        <f t="shared" si="71"/>
        <v>-15</v>
      </c>
      <c r="L35" s="8">
        <f t="shared" si="71"/>
        <v>21</v>
      </c>
      <c r="M35" s="8">
        <f>M26-M34</f>
        <v>124</v>
      </c>
      <c r="N35" s="8">
        <f>N26-N34</f>
        <v>161</v>
      </c>
      <c r="O35" s="8">
        <f>O26-O34</f>
        <v>239</v>
      </c>
      <c r="P35" s="8">
        <f>P26-P34</f>
        <v>237</v>
      </c>
      <c r="Q35" s="8">
        <f t="shared" ref="P35:R35" si="77">Q26-Q34</f>
        <v>162.63674999999967</v>
      </c>
      <c r="R35" s="8">
        <f t="shared" si="77"/>
        <v>196.00424999999905</v>
      </c>
      <c r="W35" s="8">
        <f>W26-W34</f>
        <v>-2128.4830000000002</v>
      </c>
      <c r="X35" s="8">
        <f t="shared" ref="X35:Z35" si="78">X26-X34</f>
        <v>-2141.9989999999998</v>
      </c>
      <c r="Y35" s="8">
        <f t="shared" si="78"/>
        <v>-490.39999999999986</v>
      </c>
      <c r="Z35" s="8">
        <f t="shared" si="78"/>
        <v>-1518.9</v>
      </c>
      <c r="AA35" s="8">
        <f>AA26-AA34</f>
        <v>-1014.3999999999996</v>
      </c>
      <c r="AB35" s="8">
        <f>AB26-AB34</f>
        <v>291</v>
      </c>
      <c r="AC35" s="8">
        <f>AC26-AC34</f>
        <v>834.6409999999978</v>
      </c>
      <c r="AD35" s="8">
        <f>AD26-AD34</f>
        <v>6657.621119999998</v>
      </c>
      <c r="AE35" s="8">
        <f t="shared" ref="AE35:AL35" si="79">AE26-AE34</f>
        <v>13525.076693424868</v>
      </c>
      <c r="AF35" s="8">
        <f t="shared" si="79"/>
        <v>25138.496351500005</v>
      </c>
      <c r="AG35" s="8">
        <f t="shared" si="79"/>
        <v>41642.79206060549</v>
      </c>
      <c r="AH35" s="8">
        <f t="shared" si="79"/>
        <v>58533.536842999296</v>
      </c>
      <c r="AI35" s="8">
        <f t="shared" si="79"/>
        <v>74758.814244893525</v>
      </c>
      <c r="AJ35" s="8">
        <f t="shared" si="79"/>
        <v>96250.179694282211</v>
      </c>
      <c r="AK35" s="8">
        <f t="shared" si="79"/>
        <v>105948.65732674184</v>
      </c>
      <c r="AL35" s="8">
        <f t="shared" si="79"/>
        <v>116540.74486690553</v>
      </c>
    </row>
    <row r="36" spans="2:209" x14ac:dyDescent="0.25">
      <c r="B36" s="5" t="s">
        <v>27</v>
      </c>
      <c r="C36" s="3">
        <v>0</v>
      </c>
      <c r="D36" s="3">
        <v>0.2</v>
      </c>
      <c r="E36" s="3">
        <v>-0.1</v>
      </c>
      <c r="F36" s="3">
        <v>0.2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W36" s="3">
        <v>0</v>
      </c>
      <c r="X36" s="3">
        <v>0</v>
      </c>
      <c r="Y36" s="3">
        <v>0</v>
      </c>
      <c r="Z36" s="3">
        <v>0.3</v>
      </c>
      <c r="AA36" s="3">
        <v>-0.3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2:209" x14ac:dyDescent="0.25">
      <c r="B37" s="5" t="s">
        <v>28</v>
      </c>
      <c r="C37" s="3">
        <v>-15.9</v>
      </c>
      <c r="D37" s="3">
        <v>5.4</v>
      </c>
      <c r="E37" s="3">
        <v>315.8</v>
      </c>
      <c r="F37" s="3">
        <v>-7.9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W37" s="3">
        <v>1188.0160000000001</v>
      </c>
      <c r="X37" s="3">
        <v>-309.178</v>
      </c>
      <c r="Y37" s="3">
        <v>-324.7</v>
      </c>
      <c r="Z37" s="3">
        <v>297.39999999999998</v>
      </c>
      <c r="AA37" s="3">
        <v>0.1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2:209" x14ac:dyDescent="0.25">
      <c r="B38" s="5" t="s">
        <v>29</v>
      </c>
      <c r="C38" s="8">
        <f>C35+C36+C37</f>
        <v>-359</v>
      </c>
      <c r="D38" s="8">
        <f>D35+D36+D37</f>
        <v>-434.90000000000003</v>
      </c>
      <c r="E38" s="8">
        <f>E35+E36+E37</f>
        <v>-67.200000000000102</v>
      </c>
      <c r="F38" s="8">
        <f>F35+F36+F37</f>
        <v>-359.39000000000016</v>
      </c>
      <c r="G38" s="8">
        <f t="shared" ref="G38:O38" si="80">G35+G36+G37</f>
        <v>-185.70000000000016</v>
      </c>
      <c r="H38" s="8">
        <f t="shared" si="80"/>
        <v>-261</v>
      </c>
      <c r="I38" s="8">
        <f t="shared" si="80"/>
        <v>-363.70000000000027</v>
      </c>
      <c r="J38" s="8">
        <f t="shared" si="80"/>
        <v>-204</v>
      </c>
      <c r="K38" s="8">
        <f t="shared" si="80"/>
        <v>-15</v>
      </c>
      <c r="L38" s="8">
        <f t="shared" si="80"/>
        <v>21</v>
      </c>
      <c r="M38" s="8">
        <f t="shared" si="80"/>
        <v>124</v>
      </c>
      <c r="N38" s="8">
        <f t="shared" si="80"/>
        <v>161</v>
      </c>
      <c r="O38" s="8">
        <f t="shared" si="80"/>
        <v>239</v>
      </c>
      <c r="P38" s="8">
        <f t="shared" ref="P38:R38" si="81">P35+P36+P37</f>
        <v>237</v>
      </c>
      <c r="Q38" s="8">
        <f t="shared" si="81"/>
        <v>162.63674999999967</v>
      </c>
      <c r="R38" s="8">
        <f t="shared" si="81"/>
        <v>196.00424999999905</v>
      </c>
      <c r="W38" s="8">
        <f t="shared" ref="W38:Z38" si="82">W35+W36+W37</f>
        <v>-940.4670000000001</v>
      </c>
      <c r="X38" s="8">
        <f t="shared" si="82"/>
        <v>-2451.1769999999997</v>
      </c>
      <c r="Y38" s="8">
        <f t="shared" si="82"/>
        <v>-815.09999999999991</v>
      </c>
      <c r="Z38" s="8">
        <f t="shared" si="82"/>
        <v>-1221.2000000000003</v>
      </c>
      <c r="AA38" s="8">
        <f>AA35+AA36+AA37</f>
        <v>-1014.5999999999996</v>
      </c>
      <c r="AB38" s="8">
        <f>AB35+AB36+AB37</f>
        <v>291</v>
      </c>
      <c r="AC38" s="8">
        <f>AC35+AC36+AC37</f>
        <v>834.6409999999978</v>
      </c>
      <c r="AD38" s="8">
        <f t="shared" ref="AD38:AL38" si="83">AD35+AD36+AD37</f>
        <v>6657.621119999998</v>
      </c>
      <c r="AE38" s="8">
        <f t="shared" si="83"/>
        <v>13525.076693424868</v>
      </c>
      <c r="AF38" s="8">
        <f t="shared" si="83"/>
        <v>25138.496351500005</v>
      </c>
      <c r="AG38" s="8">
        <f t="shared" si="83"/>
        <v>41642.79206060549</v>
      </c>
      <c r="AH38" s="8">
        <f t="shared" si="83"/>
        <v>58533.536842999296</v>
      </c>
      <c r="AI38" s="8">
        <f t="shared" si="83"/>
        <v>74758.814244893525</v>
      </c>
      <c r="AJ38" s="8">
        <f t="shared" si="83"/>
        <v>96250.179694282211</v>
      </c>
      <c r="AK38" s="8">
        <f t="shared" si="83"/>
        <v>105948.65732674184</v>
      </c>
      <c r="AL38" s="8">
        <f t="shared" si="83"/>
        <v>116540.74486690553</v>
      </c>
    </row>
    <row r="39" spans="2:209" x14ac:dyDescent="0.25">
      <c r="B39" s="5" t="s">
        <v>30</v>
      </c>
      <c r="C39" s="3">
        <v>1.7</v>
      </c>
      <c r="D39" s="3">
        <v>0</v>
      </c>
      <c r="E39" s="3">
        <v>0</v>
      </c>
      <c r="F39" s="3">
        <v>0.3</v>
      </c>
      <c r="G39" s="3">
        <v>0</v>
      </c>
      <c r="H39" s="3">
        <v>-10</v>
      </c>
      <c r="I39" s="3">
        <f>-17.2+0.2</f>
        <v>-17</v>
      </c>
      <c r="J39" s="3">
        <v>-16</v>
      </c>
      <c r="K39" s="3">
        <v>-17</v>
      </c>
      <c r="L39" s="3">
        <v>-15</v>
      </c>
      <c r="M39" s="3">
        <v>-14</v>
      </c>
      <c r="N39" s="3">
        <v>-14</v>
      </c>
      <c r="O39" s="3">
        <v>-14</v>
      </c>
      <c r="P39" s="3">
        <v>61</v>
      </c>
      <c r="Q39" s="3">
        <f>Q38*Q46</f>
        <v>40.932417239999921</v>
      </c>
      <c r="R39" s="3">
        <f>R38*R46</f>
        <v>49.33034963999976</v>
      </c>
      <c r="W39" s="3">
        <v>0</v>
      </c>
      <c r="X39" s="3">
        <v>0</v>
      </c>
      <c r="Y39" s="3">
        <v>1.3</v>
      </c>
      <c r="Z39" s="3">
        <v>2</v>
      </c>
      <c r="AA39" s="3">
        <f>0.4-44</f>
        <v>-43.6</v>
      </c>
      <c r="AB39" s="3">
        <v>-60</v>
      </c>
      <c r="AC39" s="3">
        <f>SUM(O39:R39)</f>
        <v>137.26276687999967</v>
      </c>
      <c r="AD39" s="3">
        <f t="shared" ref="AD39:AL39" si="84">AD38*AD46</f>
        <v>1664.4052799999995</v>
      </c>
      <c r="AE39" s="3">
        <f t="shared" si="84"/>
        <v>3381.2691733562169</v>
      </c>
      <c r="AF39" s="3">
        <f t="shared" si="84"/>
        <v>6284.6240878750014</v>
      </c>
      <c r="AG39" s="3">
        <f t="shared" si="84"/>
        <v>10410.698015151373</v>
      </c>
      <c r="AH39" s="3">
        <f t="shared" si="84"/>
        <v>14633.384210749824</v>
      </c>
      <c r="AI39" s="3">
        <f t="shared" si="84"/>
        <v>18689.703561223381</v>
      </c>
      <c r="AJ39" s="3">
        <f t="shared" si="84"/>
        <v>24062.544923570553</v>
      </c>
      <c r="AK39" s="3">
        <f t="shared" si="84"/>
        <v>26487.164331685461</v>
      </c>
      <c r="AL39" s="3">
        <f t="shared" si="84"/>
        <v>29135.186216726383</v>
      </c>
    </row>
    <row r="40" spans="2:209" x14ac:dyDescent="0.25">
      <c r="B40" s="7" t="s">
        <v>31</v>
      </c>
      <c r="C40" s="9">
        <f t="shared" ref="C40:L40" si="85">C38-C39</f>
        <v>-360.7</v>
      </c>
      <c r="D40" s="9">
        <f t="shared" si="85"/>
        <v>-434.90000000000003</v>
      </c>
      <c r="E40" s="9">
        <f t="shared" ref="E40" si="86">E38-E39</f>
        <v>-67.200000000000102</v>
      </c>
      <c r="F40" s="9">
        <f t="shared" ref="F40" si="87">F38-F39</f>
        <v>-359.69000000000017</v>
      </c>
      <c r="G40" s="9">
        <f t="shared" ref="G40" si="88">G38-G39</f>
        <v>-185.70000000000016</v>
      </c>
      <c r="H40" s="9">
        <f>H38-H39</f>
        <v>-251</v>
      </c>
      <c r="I40" s="9">
        <f t="shared" ref="I40" si="89">I38-I39</f>
        <v>-346.70000000000027</v>
      </c>
      <c r="J40" s="9">
        <f t="shared" si="85"/>
        <v>-188</v>
      </c>
      <c r="K40" s="9">
        <f t="shared" si="85"/>
        <v>2</v>
      </c>
      <c r="L40" s="9">
        <f t="shared" si="85"/>
        <v>36</v>
      </c>
      <c r="M40" s="9">
        <f>M38-M39</f>
        <v>138</v>
      </c>
      <c r="N40" s="9">
        <f>N38-N39</f>
        <v>175</v>
      </c>
      <c r="O40" s="9">
        <f>O38-O39</f>
        <v>253</v>
      </c>
      <c r="P40" s="9">
        <f t="shared" ref="P40:R40" si="90">P38-P39</f>
        <v>176</v>
      </c>
      <c r="Q40" s="9">
        <f t="shared" si="90"/>
        <v>121.70433275999974</v>
      </c>
      <c r="R40" s="9">
        <f t="shared" si="90"/>
        <v>146.67390035999929</v>
      </c>
      <c r="W40" s="9">
        <f>W38-W39</f>
        <v>-940.4670000000001</v>
      </c>
      <c r="X40" s="9">
        <f t="shared" ref="X40:Z40" si="91">X38-X39</f>
        <v>-2451.1769999999997</v>
      </c>
      <c r="Y40" s="9">
        <f t="shared" si="91"/>
        <v>-816.39999999999986</v>
      </c>
      <c r="Z40" s="9">
        <f t="shared" si="91"/>
        <v>-1223.2000000000003</v>
      </c>
      <c r="AA40" s="9">
        <f>AA38-AA39</f>
        <v>-970.99999999999955</v>
      </c>
      <c r="AB40" s="9">
        <f>AB38-AB39</f>
        <v>351</v>
      </c>
      <c r="AC40" s="9">
        <f>AC38-AC39</f>
        <v>697.37823311999819</v>
      </c>
      <c r="AD40" s="9">
        <f t="shared" ref="AD40:AL40" si="92">AD38-AD39</f>
        <v>4993.2158399999989</v>
      </c>
      <c r="AE40" s="9">
        <f t="shared" si="92"/>
        <v>10143.807520068651</v>
      </c>
      <c r="AF40" s="9">
        <f t="shared" si="92"/>
        <v>18853.872263625002</v>
      </c>
      <c r="AG40" s="9">
        <f t="shared" si="92"/>
        <v>31232.09404545412</v>
      </c>
      <c r="AH40" s="9">
        <f t="shared" si="92"/>
        <v>43900.152632249476</v>
      </c>
      <c r="AI40" s="9">
        <f t="shared" si="92"/>
        <v>56069.110683670144</v>
      </c>
      <c r="AJ40" s="9">
        <f t="shared" si="92"/>
        <v>72187.634770711651</v>
      </c>
      <c r="AK40" s="9">
        <f t="shared" si="92"/>
        <v>79461.492995056382</v>
      </c>
      <c r="AL40" s="9">
        <f t="shared" si="92"/>
        <v>87405.558650179155</v>
      </c>
      <c r="AM40" s="9">
        <f t="shared" ref="AM40:BR40" si="93">AL40*(1+$AP$56)</f>
        <v>90027.725409684528</v>
      </c>
      <c r="AN40" s="9">
        <f t="shared" si="93"/>
        <v>92728.557171975073</v>
      </c>
      <c r="AO40" s="9">
        <f t="shared" si="93"/>
        <v>95510.413887134331</v>
      </c>
      <c r="AP40" s="9">
        <f t="shared" si="93"/>
        <v>98375.726303748364</v>
      </c>
      <c r="AQ40" s="9">
        <f t="shared" si="93"/>
        <v>101326.99809286081</v>
      </c>
      <c r="AR40" s="9">
        <f t="shared" si="93"/>
        <v>104366.80803564664</v>
      </c>
      <c r="AS40" s="9">
        <f t="shared" si="93"/>
        <v>107497.81227671604</v>
      </c>
      <c r="AT40" s="9">
        <f t="shared" si="93"/>
        <v>110722.74664501753</v>
      </c>
      <c r="AU40" s="9">
        <f t="shared" si="93"/>
        <v>114044.42904436805</v>
      </c>
      <c r="AV40" s="9">
        <f t="shared" si="93"/>
        <v>117465.7619156991</v>
      </c>
      <c r="AW40" s="9">
        <f t="shared" si="93"/>
        <v>120989.73477317007</v>
      </c>
      <c r="AX40" s="9">
        <f t="shared" si="93"/>
        <v>124619.42681636517</v>
      </c>
      <c r="AY40" s="9">
        <f t="shared" si="93"/>
        <v>128358.00962085613</v>
      </c>
      <c r="AZ40" s="9">
        <f t="shared" si="93"/>
        <v>132208.74990948182</v>
      </c>
      <c r="BA40" s="9">
        <f t="shared" si="93"/>
        <v>136175.01240676627</v>
      </c>
      <c r="BB40" s="9">
        <f t="shared" si="93"/>
        <v>140260.26277896925</v>
      </c>
      <c r="BC40" s="9">
        <f t="shared" si="93"/>
        <v>144468.07066233832</v>
      </c>
      <c r="BD40" s="9">
        <f t="shared" si="93"/>
        <v>148802.11278220848</v>
      </c>
      <c r="BE40" s="9">
        <f t="shared" si="93"/>
        <v>153266.17616567473</v>
      </c>
      <c r="BF40" s="9">
        <f t="shared" si="93"/>
        <v>157864.16145064498</v>
      </c>
      <c r="BG40" s="9">
        <f t="shared" si="93"/>
        <v>162600.08629416433</v>
      </c>
      <c r="BH40" s="9">
        <f t="shared" si="93"/>
        <v>167478.08888298925</v>
      </c>
      <c r="BI40" s="9">
        <f t="shared" si="93"/>
        <v>172502.43154947893</v>
      </c>
      <c r="BJ40" s="9">
        <f t="shared" si="93"/>
        <v>177677.50449596331</v>
      </c>
      <c r="BK40" s="9">
        <f t="shared" si="93"/>
        <v>183007.8296308422</v>
      </c>
      <c r="BL40" s="9">
        <f t="shared" si="93"/>
        <v>188498.06451976747</v>
      </c>
      <c r="BM40" s="9">
        <f t="shared" si="93"/>
        <v>194153.0064553605</v>
      </c>
      <c r="BN40" s="9">
        <f t="shared" si="93"/>
        <v>199977.59664902132</v>
      </c>
      <c r="BO40" s="9">
        <f t="shared" si="93"/>
        <v>205976.92454849195</v>
      </c>
      <c r="BP40" s="9">
        <f t="shared" si="93"/>
        <v>212156.23228494672</v>
      </c>
      <c r="BQ40" s="9">
        <f t="shared" si="93"/>
        <v>218520.91925349511</v>
      </c>
      <c r="BR40" s="9">
        <f t="shared" si="93"/>
        <v>225076.54683109999</v>
      </c>
      <c r="BS40" s="9">
        <f t="shared" ref="BS40:CX40" si="94">BR40*(1+$AP$56)</f>
        <v>231828.84323603299</v>
      </c>
      <c r="BT40" s="9">
        <f t="shared" si="94"/>
        <v>238783.708533114</v>
      </c>
      <c r="BU40" s="9">
        <f t="shared" si="94"/>
        <v>245947.21978910742</v>
      </c>
      <c r="BV40" s="9">
        <f t="shared" si="94"/>
        <v>253325.63638278065</v>
      </c>
      <c r="BW40" s="9">
        <f t="shared" si="94"/>
        <v>260925.40547426409</v>
      </c>
      <c r="BX40" s="9">
        <f t="shared" si="94"/>
        <v>268753.16763849201</v>
      </c>
      <c r="BY40" s="9">
        <f t="shared" si="94"/>
        <v>276815.76266764681</v>
      </c>
      <c r="BZ40" s="9">
        <f t="shared" si="94"/>
        <v>285120.23554767622</v>
      </c>
      <c r="CA40" s="9">
        <f t="shared" si="94"/>
        <v>293673.84261410648</v>
      </c>
      <c r="CB40" s="9">
        <f t="shared" si="94"/>
        <v>302484.0578925297</v>
      </c>
      <c r="CC40" s="9">
        <f t="shared" si="94"/>
        <v>311558.57962930558</v>
      </c>
      <c r="CD40" s="9">
        <f t="shared" si="94"/>
        <v>320905.33701818477</v>
      </c>
      <c r="CE40" s="9">
        <f t="shared" si="94"/>
        <v>330532.49712873035</v>
      </c>
      <c r="CF40" s="9">
        <f t="shared" si="94"/>
        <v>340448.47204259224</v>
      </c>
      <c r="CG40" s="9">
        <f t="shared" si="94"/>
        <v>350661.92620387004</v>
      </c>
      <c r="CH40" s="9">
        <f t="shared" si="94"/>
        <v>361181.78398998617</v>
      </c>
      <c r="CI40" s="9">
        <f t="shared" si="94"/>
        <v>372017.23750968574</v>
      </c>
      <c r="CJ40" s="9">
        <f t="shared" si="94"/>
        <v>383177.75463497633</v>
      </c>
      <c r="CK40" s="9">
        <f t="shared" si="94"/>
        <v>394673.0872740256</v>
      </c>
      <c r="CL40" s="9">
        <f t="shared" si="94"/>
        <v>406513.27989224636</v>
      </c>
      <c r="CM40" s="9">
        <f t="shared" si="94"/>
        <v>418708.67828901374</v>
      </c>
      <c r="CN40" s="9">
        <f t="shared" si="94"/>
        <v>431269.93863768416</v>
      </c>
      <c r="CO40" s="9">
        <f t="shared" si="94"/>
        <v>444208.0367968147</v>
      </c>
      <c r="CP40" s="9">
        <f t="shared" si="94"/>
        <v>457534.27790071914</v>
      </c>
      <c r="CQ40" s="9">
        <f t="shared" si="94"/>
        <v>471260.30623774073</v>
      </c>
      <c r="CR40" s="9">
        <f t="shared" si="94"/>
        <v>485398.11542487296</v>
      </c>
      <c r="CS40" s="9">
        <f t="shared" si="94"/>
        <v>499960.05888761918</v>
      </c>
      <c r="CT40" s="9">
        <f t="shared" si="94"/>
        <v>514958.86065424775</v>
      </c>
      <c r="CU40" s="9">
        <f t="shared" si="94"/>
        <v>530407.62647387525</v>
      </c>
      <c r="CV40" s="9">
        <f t="shared" si="94"/>
        <v>546319.85526809155</v>
      </c>
      <c r="CW40" s="9">
        <f t="shared" si="94"/>
        <v>562709.45092613436</v>
      </c>
      <c r="CX40" s="9">
        <f t="shared" si="94"/>
        <v>579590.73445391841</v>
      </c>
      <c r="CY40" s="9">
        <f t="shared" ref="CY40:ED40" si="95">CX40*(1+$AP$56)</f>
        <v>596978.45648753596</v>
      </c>
      <c r="CZ40" s="9">
        <f t="shared" si="95"/>
        <v>614887.81018216209</v>
      </c>
      <c r="DA40" s="9">
        <f t="shared" si="95"/>
        <v>633334.44448762701</v>
      </c>
      <c r="DB40" s="9">
        <f t="shared" si="95"/>
        <v>652334.47782225581</v>
      </c>
      <c r="DC40" s="9">
        <f t="shared" si="95"/>
        <v>671904.51215692353</v>
      </c>
      <c r="DD40" s="9">
        <f t="shared" si="95"/>
        <v>692061.64752163121</v>
      </c>
      <c r="DE40" s="9">
        <f t="shared" si="95"/>
        <v>712823.49694728013</v>
      </c>
      <c r="DF40" s="9">
        <f t="shared" si="95"/>
        <v>734208.2018556986</v>
      </c>
      <c r="DG40" s="9">
        <f t="shared" si="95"/>
        <v>756234.44791136961</v>
      </c>
      <c r="DH40" s="9">
        <f t="shared" si="95"/>
        <v>778921.48134871072</v>
      </c>
      <c r="DI40" s="9">
        <f t="shared" si="95"/>
        <v>802289.12578917202</v>
      </c>
      <c r="DJ40" s="9">
        <f t="shared" si="95"/>
        <v>826357.79956284724</v>
      </c>
      <c r="DK40" s="9">
        <f t="shared" si="95"/>
        <v>851148.53354973265</v>
      </c>
      <c r="DL40" s="9">
        <f t="shared" si="95"/>
        <v>876682.98955622467</v>
      </c>
      <c r="DM40" s="9">
        <f t="shared" si="95"/>
        <v>902983.47924291145</v>
      </c>
      <c r="DN40" s="9">
        <f t="shared" si="95"/>
        <v>930072.98362019879</v>
      </c>
      <c r="DO40" s="9">
        <f t="shared" si="95"/>
        <v>957975.17312880477</v>
      </c>
      <c r="DP40" s="9">
        <f t="shared" si="95"/>
        <v>986714.42832266889</v>
      </c>
      <c r="DQ40" s="9">
        <f t="shared" si="95"/>
        <v>1016315.861172349</v>
      </c>
      <c r="DR40" s="9">
        <f t="shared" si="95"/>
        <v>1046805.3370075194</v>
      </c>
      <c r="DS40" s="9">
        <f t="shared" si="95"/>
        <v>1078209.497117745</v>
      </c>
      <c r="DT40" s="9">
        <f t="shared" si="95"/>
        <v>1110555.7820312774</v>
      </c>
      <c r="DU40" s="9">
        <f t="shared" si="95"/>
        <v>1143872.4554922157</v>
      </c>
      <c r="DV40" s="9">
        <f t="shared" si="95"/>
        <v>1178188.6291569823</v>
      </c>
      <c r="DW40" s="9">
        <f t="shared" si="95"/>
        <v>1213534.2880316917</v>
      </c>
      <c r="DX40" s="9">
        <f t="shared" si="95"/>
        <v>1249940.3166726425</v>
      </c>
      <c r="DY40" s="9">
        <f t="shared" si="95"/>
        <v>1287438.5261728219</v>
      </c>
      <c r="DZ40" s="9">
        <f t="shared" si="95"/>
        <v>1326061.6819580065</v>
      </c>
      <c r="EA40" s="9">
        <f t="shared" si="95"/>
        <v>1365843.5324167467</v>
      </c>
      <c r="EB40" s="9">
        <f t="shared" si="95"/>
        <v>1406818.8383892491</v>
      </c>
      <c r="EC40" s="9">
        <f t="shared" si="95"/>
        <v>1449023.4035409265</v>
      </c>
      <c r="ED40" s="9">
        <f t="shared" si="95"/>
        <v>1492494.1056471544</v>
      </c>
      <c r="EE40" s="9">
        <f t="shared" ref="EE40:FJ40" si="96">ED40*(1+$AP$56)</f>
        <v>1537268.928816569</v>
      </c>
      <c r="EF40" s="9">
        <f t="shared" si="96"/>
        <v>1583386.9966810662</v>
      </c>
      <c r="EG40" s="9">
        <f t="shared" si="96"/>
        <v>1630888.6065814982</v>
      </c>
      <c r="EH40" s="9">
        <f t="shared" si="96"/>
        <v>1679815.2647789433</v>
      </c>
      <c r="EI40" s="9">
        <f t="shared" si="96"/>
        <v>1730209.7227223115</v>
      </c>
      <c r="EJ40" s="9">
        <f t="shared" si="96"/>
        <v>1782116.0144039809</v>
      </c>
      <c r="EK40" s="9">
        <f t="shared" si="96"/>
        <v>1835579.4948361004</v>
      </c>
      <c r="EL40" s="9">
        <f t="shared" si="96"/>
        <v>1890646.8796811835</v>
      </c>
      <c r="EM40" s="9">
        <f t="shared" si="96"/>
        <v>1947366.286071619</v>
      </c>
      <c r="EN40" s="9">
        <f t="shared" si="96"/>
        <v>2005787.2746537677</v>
      </c>
      <c r="EO40" s="9">
        <f t="shared" si="96"/>
        <v>2065960.8928933807</v>
      </c>
      <c r="EP40" s="9">
        <f t="shared" si="96"/>
        <v>2127939.7196801822</v>
      </c>
      <c r="EQ40" s="9">
        <f t="shared" si="96"/>
        <v>2191777.9112705877</v>
      </c>
      <c r="ER40" s="9">
        <f t="shared" si="96"/>
        <v>2257531.2486087056</v>
      </c>
      <c r="ES40" s="9">
        <f t="shared" si="96"/>
        <v>2325257.186066967</v>
      </c>
      <c r="ET40" s="9">
        <f t="shared" si="96"/>
        <v>2395014.9016489759</v>
      </c>
      <c r="EU40" s="9">
        <f t="shared" si="96"/>
        <v>2466865.3486984451</v>
      </c>
      <c r="EV40" s="9">
        <f t="shared" si="96"/>
        <v>2540871.3091593985</v>
      </c>
      <c r="EW40" s="9">
        <f t="shared" si="96"/>
        <v>2617097.4484341806</v>
      </c>
      <c r="EX40" s="9">
        <f t="shared" si="96"/>
        <v>2695610.3718872061</v>
      </c>
      <c r="EY40" s="9">
        <f t="shared" si="96"/>
        <v>2776478.6830438222</v>
      </c>
      <c r="EZ40" s="9">
        <f t="shared" si="96"/>
        <v>2859773.0435351371</v>
      </c>
      <c r="FA40" s="9">
        <f t="shared" si="96"/>
        <v>2945566.2348411912</v>
      </c>
      <c r="FB40" s="9">
        <f t="shared" si="96"/>
        <v>3033933.2218864271</v>
      </c>
      <c r="FC40" s="9">
        <f t="shared" si="96"/>
        <v>3124951.2185430201</v>
      </c>
      <c r="FD40" s="9">
        <f t="shared" si="96"/>
        <v>3218699.7550993105</v>
      </c>
      <c r="FE40" s="9">
        <f t="shared" si="96"/>
        <v>3315260.7477522898</v>
      </c>
      <c r="FF40" s="9">
        <f t="shared" si="96"/>
        <v>3414718.5701848585</v>
      </c>
      <c r="FG40" s="9">
        <f t="shared" si="96"/>
        <v>3517160.1272904044</v>
      </c>
      <c r="FH40" s="9">
        <f t="shared" si="96"/>
        <v>3622674.9311091164</v>
      </c>
      <c r="FI40" s="9">
        <f t="shared" si="96"/>
        <v>3731355.1790423901</v>
      </c>
      <c r="FJ40" s="9">
        <f t="shared" si="96"/>
        <v>3843295.8344136621</v>
      </c>
      <c r="FK40" s="9">
        <f t="shared" ref="FK40:GP40" si="97">FJ40*(1+$AP$56)</f>
        <v>3958594.7094460721</v>
      </c>
      <c r="FL40" s="9">
        <f t="shared" si="97"/>
        <v>4077352.5507294545</v>
      </c>
      <c r="FM40" s="9">
        <f t="shared" si="97"/>
        <v>4199673.1272513382</v>
      </c>
      <c r="FN40" s="9">
        <f t="shared" si="97"/>
        <v>4325663.3210688783</v>
      </c>
      <c r="FO40" s="9">
        <f t="shared" si="97"/>
        <v>4455433.2207009448</v>
      </c>
      <c r="FP40" s="9">
        <f t="shared" si="97"/>
        <v>4589096.2173219733</v>
      </c>
      <c r="FQ40" s="9">
        <f t="shared" si="97"/>
        <v>4726769.1038416326</v>
      </c>
      <c r="FR40" s="9">
        <f t="shared" si="97"/>
        <v>4868572.1769568818</v>
      </c>
      <c r="FS40" s="9">
        <f t="shared" si="97"/>
        <v>5014629.3422655882</v>
      </c>
      <c r="FT40" s="9">
        <f t="shared" si="97"/>
        <v>5165068.2225335557</v>
      </c>
      <c r="FU40" s="9">
        <f t="shared" si="97"/>
        <v>5320020.2692095628</v>
      </c>
      <c r="FV40" s="9">
        <f t="shared" si="97"/>
        <v>5479620.8772858502</v>
      </c>
      <c r="FW40" s="9">
        <f t="shared" si="97"/>
        <v>5644009.503604426</v>
      </c>
      <c r="FX40" s="9">
        <f t="shared" si="97"/>
        <v>5813329.7887125593</v>
      </c>
      <c r="FY40" s="9">
        <f t="shared" si="97"/>
        <v>5987729.6823739363</v>
      </c>
      <c r="FZ40" s="9">
        <f t="shared" si="97"/>
        <v>6167361.5728451544</v>
      </c>
      <c r="GA40" s="9">
        <f t="shared" si="97"/>
        <v>6352382.4200305091</v>
      </c>
      <c r="GB40" s="9">
        <f t="shared" si="97"/>
        <v>6542953.8926314246</v>
      </c>
      <c r="GC40" s="9">
        <f t="shared" si="97"/>
        <v>6739242.5094103673</v>
      </c>
      <c r="GD40" s="9">
        <f t="shared" si="97"/>
        <v>6941419.7846926786</v>
      </c>
      <c r="GE40" s="9">
        <f t="shared" si="97"/>
        <v>7149662.3782334588</v>
      </c>
      <c r="GF40" s="9">
        <f t="shared" si="97"/>
        <v>7364152.2495804625</v>
      </c>
      <c r="GG40" s="9">
        <f t="shared" si="97"/>
        <v>7585076.8170678765</v>
      </c>
      <c r="GH40" s="9">
        <f t="shared" si="97"/>
        <v>7812629.1215799125</v>
      </c>
      <c r="GI40" s="9">
        <f t="shared" si="97"/>
        <v>8047007.9952273099</v>
      </c>
      <c r="GJ40" s="9">
        <f t="shared" si="97"/>
        <v>8288418.2350841295</v>
      </c>
      <c r="GK40" s="9">
        <f t="shared" si="97"/>
        <v>8537070.7821366545</v>
      </c>
      <c r="GL40" s="9">
        <f t="shared" si="97"/>
        <v>8793182.9056007545</v>
      </c>
      <c r="GM40" s="9">
        <f t="shared" si="97"/>
        <v>9056978.3927687779</v>
      </c>
      <c r="GN40" s="9">
        <f t="shared" si="97"/>
        <v>9328687.7445518412</v>
      </c>
      <c r="GO40" s="9">
        <f t="shared" si="97"/>
        <v>9608548.3768883962</v>
      </c>
      <c r="GP40" s="9">
        <f t="shared" si="97"/>
        <v>9896804.8281950485</v>
      </c>
      <c r="GQ40" s="9">
        <f t="shared" ref="GQ40:HA40" si="98">GP40*(1+$AP$56)</f>
        <v>10193708.973040901</v>
      </c>
      <c r="GR40" s="9">
        <f t="shared" si="98"/>
        <v>10499520.242232129</v>
      </c>
      <c r="GS40" s="9">
        <f t="shared" si="98"/>
        <v>10814505.849499093</v>
      </c>
      <c r="GT40" s="9">
        <f t="shared" si="98"/>
        <v>11138941.024984067</v>
      </c>
      <c r="GU40" s="9">
        <f t="shared" si="98"/>
        <v>11473109.255733589</v>
      </c>
      <c r="GV40" s="9">
        <f t="shared" si="98"/>
        <v>11817302.533405596</v>
      </c>
      <c r="GW40" s="9">
        <f t="shared" si="98"/>
        <v>12171821.609407764</v>
      </c>
      <c r="GX40" s="9">
        <f t="shared" si="98"/>
        <v>12536976.257689998</v>
      </c>
      <c r="GY40" s="9">
        <f t="shared" si="98"/>
        <v>12913085.545420697</v>
      </c>
      <c r="GZ40" s="9">
        <f t="shared" si="98"/>
        <v>13300478.111783318</v>
      </c>
      <c r="HA40" s="9">
        <f t="shared" si="98"/>
        <v>13699492.455136819</v>
      </c>
    </row>
    <row r="41" spans="2:209" x14ac:dyDescent="0.25">
      <c r="B41" s="5" t="s">
        <v>32</v>
      </c>
      <c r="C41" s="10">
        <f t="shared" ref="C41:M41" si="99">C40/C42</f>
        <v>-0.56527190095596302</v>
      </c>
      <c r="D41" s="10">
        <f t="shared" si="99"/>
        <v>-0.57488433575677467</v>
      </c>
      <c r="E41" s="10">
        <f t="shared" ref="E41" si="100">E40/E42</f>
        <v>-8.7981146897093618E-2</v>
      </c>
      <c r="F41" s="10">
        <f t="shared" ref="F41" si="101">F40/F42</f>
        <v>-0.47061363339003032</v>
      </c>
      <c r="G41" s="10">
        <f t="shared" ref="G41" si="102">G40/G42</f>
        <v>-0.24268165185572418</v>
      </c>
      <c r="H41" s="10">
        <f t="shared" ref="H41" si="103">H40/H42</f>
        <v>-0.30095923261390889</v>
      </c>
      <c r="I41" s="10">
        <f t="shared" ref="I41" si="104">I40/I42</f>
        <v>-0.4148121560181865</v>
      </c>
      <c r="J41" s="10">
        <f t="shared" si="99"/>
        <v>-0.22407628128724671</v>
      </c>
      <c r="K41" s="10">
        <f t="shared" si="99"/>
        <v>2.3809523809523812E-3</v>
      </c>
      <c r="L41" s="10">
        <f t="shared" si="99"/>
        <v>4.2603550295857988E-2</v>
      </c>
      <c r="M41" s="10">
        <f t="shared" si="99"/>
        <v>0.16102683780630106</v>
      </c>
      <c r="N41" s="10">
        <f>N40/N42</f>
        <v>0.20161290322580644</v>
      </c>
      <c r="O41" s="10">
        <f>O40/O42</f>
        <v>0.29080459770114941</v>
      </c>
      <c r="P41" s="10">
        <f t="shared" ref="P41:R41" si="105">P40/P42</f>
        <v>0.20183486238532111</v>
      </c>
      <c r="Q41" s="10">
        <f t="shared" si="105"/>
        <v>0.13956918894495385</v>
      </c>
      <c r="R41" s="10">
        <f t="shared" si="105"/>
        <v>0.16820401417431111</v>
      </c>
      <c r="W41" s="14">
        <f>W40/W42</f>
        <v>-2.1532372571802183</v>
      </c>
      <c r="X41" s="14">
        <f t="shared" ref="X41:Z41" si="106">X40/X42</f>
        <v>-5.6120689405829607</v>
      </c>
      <c r="Y41" s="14">
        <f t="shared" si="106"/>
        <v>-1.5213179952987155</v>
      </c>
      <c r="Z41" s="14">
        <f t="shared" si="106"/>
        <v>-1.6923841441458192</v>
      </c>
      <c r="AA41" s="14">
        <f>AA40/AA42</f>
        <v>-1.1985939461554227</v>
      </c>
      <c r="AB41" s="14">
        <f>AB40/AB42</f>
        <v>0.40437788018433179</v>
      </c>
      <c r="AC41" s="14">
        <f t="shared" ref="AC41:AL41" si="107">AC40/AC42</f>
        <v>0.79974568018348413</v>
      </c>
      <c r="AD41" s="14">
        <f t="shared" si="107"/>
        <v>5.7261649541284392</v>
      </c>
      <c r="AE41" s="14">
        <f t="shared" si="107"/>
        <v>11.632806789069553</v>
      </c>
      <c r="AF41" s="14">
        <f t="shared" si="107"/>
        <v>21.621413146358947</v>
      </c>
      <c r="AG41" s="14">
        <f t="shared" si="107"/>
        <v>35.816621611759309</v>
      </c>
      <c r="AH41" s="14">
        <f t="shared" si="107"/>
        <v>50.344211734231052</v>
      </c>
      <c r="AI41" s="14">
        <f t="shared" si="107"/>
        <v>64.299438857419887</v>
      </c>
      <c r="AJ41" s="14">
        <f t="shared" si="107"/>
        <v>82.78398482879777</v>
      </c>
      <c r="AK41" s="14">
        <f t="shared" si="107"/>
        <v>91.125565361303188</v>
      </c>
      <c r="AL41" s="14">
        <f t="shared" si="107"/>
        <v>100.23573239699445</v>
      </c>
    </row>
    <row r="42" spans="2:209" x14ac:dyDescent="0.25">
      <c r="B42" s="5" t="s">
        <v>4</v>
      </c>
      <c r="C42" s="3">
        <v>638.1</v>
      </c>
      <c r="D42" s="3">
        <v>756.5</v>
      </c>
      <c r="E42" s="3">
        <v>763.8</v>
      </c>
      <c r="F42" s="3">
        <v>764.3</v>
      </c>
      <c r="G42" s="3">
        <v>765.2</v>
      </c>
      <c r="H42" s="3">
        <v>834</v>
      </c>
      <c r="I42" s="3">
        <v>835.8</v>
      </c>
      <c r="J42" s="3">
        <v>839</v>
      </c>
      <c r="K42" s="3">
        <v>840</v>
      </c>
      <c r="L42" s="3">
        <v>845</v>
      </c>
      <c r="M42" s="3">
        <v>857</v>
      </c>
      <c r="N42" s="3">
        <v>868</v>
      </c>
      <c r="O42" s="3">
        <v>870</v>
      </c>
      <c r="P42" s="3">
        <v>872</v>
      </c>
      <c r="Q42" s="3">
        <f t="shared" ref="Q42:R42" si="108">P42</f>
        <v>872</v>
      </c>
      <c r="R42" s="3">
        <f t="shared" si="108"/>
        <v>872</v>
      </c>
      <c r="W42" s="3">
        <f>4367688683/(1000*1000*10)</f>
        <v>436.76886830000001</v>
      </c>
      <c r="X42" s="3">
        <f>4367688683/(1000*1000*10)</f>
        <v>436.76886830000001</v>
      </c>
      <c r="Y42" s="3">
        <f>5366399415/(1000*1000*10)</f>
        <v>536.63994149999996</v>
      </c>
      <c r="Z42" s="3">
        <f>7227673482/(1000*1000*10)</f>
        <v>722.76734820000001</v>
      </c>
      <c r="AA42" s="3">
        <f>8101158888/(1000*1000*10)</f>
        <v>810.11588879999999</v>
      </c>
      <c r="AB42" s="3">
        <v>868</v>
      </c>
      <c r="AC42" s="3">
        <f>R42</f>
        <v>872</v>
      </c>
      <c r="AD42" s="3">
        <f t="shared" ref="AD42:AL42" si="109">AC42</f>
        <v>872</v>
      </c>
      <c r="AE42" s="3">
        <f t="shared" si="109"/>
        <v>872</v>
      </c>
      <c r="AF42" s="3">
        <f t="shared" si="109"/>
        <v>872</v>
      </c>
      <c r="AG42" s="3">
        <f t="shared" si="109"/>
        <v>872</v>
      </c>
      <c r="AH42" s="3">
        <f t="shared" si="109"/>
        <v>872</v>
      </c>
      <c r="AI42" s="3">
        <f t="shared" si="109"/>
        <v>872</v>
      </c>
      <c r="AJ42" s="3">
        <f t="shared" si="109"/>
        <v>872</v>
      </c>
      <c r="AK42" s="3">
        <f t="shared" si="109"/>
        <v>872</v>
      </c>
      <c r="AL42" s="3">
        <f t="shared" si="109"/>
        <v>872</v>
      </c>
    </row>
    <row r="44" spans="2:209" x14ac:dyDescent="0.25">
      <c r="B44" s="5" t="s">
        <v>44</v>
      </c>
      <c r="C44" s="12"/>
      <c r="G44" s="12">
        <f>G24/C24-1</f>
        <v>0.725943704996727</v>
      </c>
      <c r="H44" s="12">
        <f t="shared" ref="H44:M44" si="110">H24/D24-1</f>
        <v>0.57708871662360028</v>
      </c>
      <c r="I44" s="12">
        <f t="shared" si="110"/>
        <v>0.68421052631578938</v>
      </c>
      <c r="J44" s="12">
        <f t="shared" si="110"/>
        <v>0.64961741024140562</v>
      </c>
      <c r="K44" s="12">
        <f t="shared" si="110"/>
        <v>0.6415929203539823</v>
      </c>
      <c r="L44" s="12">
        <f t="shared" si="110"/>
        <v>0.67121791370835604</v>
      </c>
      <c r="M44" s="12">
        <f t="shared" si="110"/>
        <v>0.65299773755656121</v>
      </c>
      <c r="N44" s="12">
        <f>N24/J24-1</f>
        <v>0.7049842837898519</v>
      </c>
      <c r="O44" s="12">
        <f>O24/K24-1</f>
        <v>0.71043511744320376</v>
      </c>
      <c r="P44" s="12">
        <f>P24/L24-1</f>
        <v>0.64052287581699341</v>
      </c>
      <c r="Q44" s="12">
        <f>Q24/M24-1</f>
        <v>0.51139150270886802</v>
      </c>
      <c r="R44" s="12">
        <f>R24/N24-1</f>
        <v>0.5323808269686594</v>
      </c>
      <c r="X44" s="12">
        <f>X22/W22-1</f>
        <v>1.0091162069149369</v>
      </c>
      <c r="Y44" s="12">
        <f t="shared" ref="Y44:AL44" si="111">Y22/X22-1</f>
        <v>-0.14661722199893945</v>
      </c>
      <c r="Z44" s="12">
        <f t="shared" si="111"/>
        <v>1.1027184271240844</v>
      </c>
      <c r="AA44" s="12">
        <f t="shared" si="111"/>
        <v>0.68862703940463699</v>
      </c>
      <c r="AB44" s="12">
        <f t="shared" si="111"/>
        <v>0.71116196287821021</v>
      </c>
      <c r="AC44" s="12">
        <f t="shared" si="111"/>
        <v>0.66121017005118055</v>
      </c>
      <c r="AD44" s="12">
        <f t="shared" si="111"/>
        <v>0.61030565645824097</v>
      </c>
      <c r="AE44" s="12">
        <f t="shared" si="111"/>
        <v>0.56536274715226953</v>
      </c>
      <c r="AF44" s="12">
        <f t="shared" si="111"/>
        <v>0.54378499029482863</v>
      </c>
      <c r="AG44" s="12">
        <f t="shared" si="111"/>
        <v>0.48302187601157698</v>
      </c>
      <c r="AH44" s="12">
        <f t="shared" si="111"/>
        <v>0.33534075893682802</v>
      </c>
      <c r="AI44" s="12">
        <f t="shared" si="111"/>
        <v>0.23749362355911607</v>
      </c>
      <c r="AJ44" s="12">
        <f t="shared" si="111"/>
        <v>0.24660324321331517</v>
      </c>
      <c r="AK44" s="12">
        <f t="shared" si="111"/>
        <v>0.10054798608363003</v>
      </c>
      <c r="AL44" s="12">
        <f t="shared" si="111"/>
        <v>0.10049792111798794</v>
      </c>
    </row>
    <row r="45" spans="2:209" x14ac:dyDescent="0.25">
      <c r="B45" s="5" t="s">
        <v>45</v>
      </c>
      <c r="C45" s="12">
        <f>C26/C24</f>
        <v>1</v>
      </c>
      <c r="D45" s="12">
        <f t="shared" ref="D45:N45" si="112">D26/D24</f>
        <v>1</v>
      </c>
      <c r="E45" s="12">
        <f t="shared" si="112"/>
        <v>0.5636262602206874</v>
      </c>
      <c r="F45" s="12">
        <f t="shared" si="112"/>
        <v>0.59622521314656929</v>
      </c>
      <c r="G45" s="12">
        <f t="shared" si="112"/>
        <v>0.63817951959544883</v>
      </c>
      <c r="H45" s="12">
        <f t="shared" si="112"/>
        <v>0.67777170944838883</v>
      </c>
      <c r="I45" s="12">
        <f t="shared" si="112"/>
        <v>0.69131787330316741</v>
      </c>
      <c r="J45" s="12">
        <f t="shared" si="112"/>
        <v>0.67714414009878765</v>
      </c>
      <c r="K45" s="12">
        <f t="shared" si="112"/>
        <v>0.68810165575664228</v>
      </c>
      <c r="L45" s="12">
        <f t="shared" si="112"/>
        <v>0.69967320261437904</v>
      </c>
      <c r="M45" s="12">
        <f t="shared" si="112"/>
        <v>0.69546621043627033</v>
      </c>
      <c r="N45" s="12">
        <f t="shared" si="112"/>
        <v>0.70555701869897292</v>
      </c>
      <c r="O45" s="12">
        <f t="shared" ref="O45:P45" si="113">O26/O24</f>
        <v>0.70103556956325974</v>
      </c>
      <c r="P45" s="12">
        <f t="shared" ref="P45" si="114">P26/P24</f>
        <v>0.72151394422310755</v>
      </c>
      <c r="Q45" s="12">
        <v>0.7</v>
      </c>
      <c r="R45" s="12">
        <v>0.7</v>
      </c>
      <c r="X45" s="12"/>
      <c r="Y45" s="12">
        <f t="shared" ref="Y45:AB45" si="115">Y26/Y24</f>
        <v>0.75061367069486407</v>
      </c>
      <c r="Z45" s="12">
        <f t="shared" si="115"/>
        <v>0.61291768019459736</v>
      </c>
      <c r="AA45" s="12">
        <f t="shared" si="115"/>
        <v>0.67311780850159131</v>
      </c>
      <c r="AB45" s="12">
        <f t="shared" si="115"/>
        <v>0.6979399737674562</v>
      </c>
      <c r="AC45" s="12">
        <f t="shared" ref="AC45" si="116">AC26/AC24</f>
        <v>0.70547109212910986</v>
      </c>
      <c r="AD45" s="12">
        <v>0.7</v>
      </c>
      <c r="AE45" s="12">
        <v>0.7</v>
      </c>
      <c r="AF45" s="12">
        <v>0.7</v>
      </c>
      <c r="AG45" s="12">
        <v>0.7</v>
      </c>
      <c r="AH45" s="12">
        <v>0.7</v>
      </c>
      <c r="AI45" s="12">
        <v>0.7</v>
      </c>
      <c r="AJ45" s="12">
        <v>0.7</v>
      </c>
      <c r="AK45" s="12">
        <v>0.7</v>
      </c>
      <c r="AL45" s="12">
        <v>0.7</v>
      </c>
    </row>
    <row r="46" spans="2:209" x14ac:dyDescent="0.25">
      <c r="B46" s="5" t="s">
        <v>132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0.25168000000000001</v>
      </c>
      <c r="R46" s="12">
        <v>0.25168000000000001</v>
      </c>
      <c r="AC46" s="12"/>
      <c r="AD46" s="12">
        <v>0.25</v>
      </c>
      <c r="AE46" s="12">
        <f t="shared" ref="AE46:AL46" si="117">AD46</f>
        <v>0.25</v>
      </c>
      <c r="AF46" s="12">
        <f t="shared" si="117"/>
        <v>0.25</v>
      </c>
      <c r="AG46" s="12">
        <f t="shared" si="117"/>
        <v>0.25</v>
      </c>
      <c r="AH46" s="12">
        <f t="shared" si="117"/>
        <v>0.25</v>
      </c>
      <c r="AI46" s="12">
        <f t="shared" si="117"/>
        <v>0.25</v>
      </c>
      <c r="AJ46" s="12">
        <f t="shared" si="117"/>
        <v>0.25</v>
      </c>
      <c r="AK46" s="12">
        <f t="shared" si="117"/>
        <v>0.25</v>
      </c>
      <c r="AL46" s="12">
        <f t="shared" si="117"/>
        <v>0.25</v>
      </c>
    </row>
    <row r="47" spans="2:209" x14ac:dyDescent="0.25">
      <c r="B47" s="5" t="s">
        <v>142</v>
      </c>
      <c r="C47" s="12"/>
      <c r="D47" s="12"/>
      <c r="E47" s="12">
        <f>E27/E24</f>
        <v>0.13225371120107962</v>
      </c>
      <c r="F47" s="12">
        <f t="shared" ref="F47:N47" si="118">F27/F24</f>
        <v>0.14362856571432805</v>
      </c>
      <c r="G47" s="12">
        <f t="shared" si="118"/>
        <v>0.16498103666245259</v>
      </c>
      <c r="H47" s="12">
        <f t="shared" si="118"/>
        <v>0.18951392681594756</v>
      </c>
      <c r="I47" s="12">
        <f t="shared" si="118"/>
        <v>0.18509615384615385</v>
      </c>
      <c r="J47" s="12">
        <f t="shared" si="118"/>
        <v>0.19667714414009879</v>
      </c>
      <c r="K47" s="12">
        <f t="shared" si="118"/>
        <v>0.21447824412783981</v>
      </c>
      <c r="L47" s="12">
        <f t="shared" si="118"/>
        <v>0.22385620915032681</v>
      </c>
      <c r="M47" s="12">
        <f t="shared" si="118"/>
        <v>0.223267750213858</v>
      </c>
      <c r="N47" s="12">
        <f t="shared" si="118"/>
        <v>0.2270213326310245</v>
      </c>
      <c r="O47" s="12">
        <f t="shared" ref="O47:P47" si="119">O27/O24</f>
        <v>0.25123818099954975</v>
      </c>
      <c r="P47" s="12">
        <f t="shared" ref="P47" si="120">P27/P24</f>
        <v>0.27270916334661355</v>
      </c>
      <c r="Q47" s="12">
        <v>0.25</v>
      </c>
      <c r="R47" s="12">
        <v>0.25</v>
      </c>
      <c r="Z47" s="12">
        <f>Z27/Z24</f>
        <v>0.11786796398241797</v>
      </c>
      <c r="AA47" s="12">
        <f t="shared" ref="AA47:AC47" si="121">AA27/AA24</f>
        <v>0.18531355899444654</v>
      </c>
      <c r="AB47" s="12">
        <f t="shared" si="121"/>
        <v>0.22274515855258081</v>
      </c>
      <c r="AC47" s="12">
        <f t="shared" si="121"/>
        <v>0.25580635443542316</v>
      </c>
      <c r="AD47" s="12">
        <v>0.23</v>
      </c>
      <c r="AE47" s="12">
        <v>0.23</v>
      </c>
      <c r="AF47" s="12">
        <v>0.23</v>
      </c>
      <c r="AG47" s="12">
        <v>0.23</v>
      </c>
      <c r="AH47" s="12">
        <v>0.23</v>
      </c>
      <c r="AI47" s="12">
        <v>0.23</v>
      </c>
      <c r="AJ47" s="12">
        <v>0.23</v>
      </c>
      <c r="AK47" s="12">
        <v>0.23</v>
      </c>
      <c r="AL47" s="12">
        <v>0.23</v>
      </c>
    </row>
    <row r="48" spans="2:209" x14ac:dyDescent="0.25">
      <c r="B48" s="5" t="s">
        <v>141</v>
      </c>
      <c r="C48" s="12"/>
      <c r="D48" s="12">
        <f>D29/C29-1</f>
        <v>8.5487586383414582E-2</v>
      </c>
      <c r="E48" s="12">
        <f t="shared" ref="E48:M48" si="122">E29/D29-1</f>
        <v>-2.9709974062721134E-2</v>
      </c>
      <c r="F48" s="12">
        <f t="shared" si="122"/>
        <v>-1.1421628189550392E-2</v>
      </c>
      <c r="G48" s="12">
        <f t="shared" si="122"/>
        <v>-0.14233038348082605</v>
      </c>
      <c r="H48" s="12">
        <f t="shared" si="122"/>
        <v>9.2003439380911489E-2</v>
      </c>
      <c r="I48" s="12">
        <f t="shared" si="122"/>
        <v>3.6745406824147064E-2</v>
      </c>
      <c r="J48" s="12">
        <f t="shared" si="122"/>
        <v>-0.13924050632911389</v>
      </c>
      <c r="K48" s="12">
        <f t="shared" si="122"/>
        <v>-5.8823529411764497E-3</v>
      </c>
      <c r="L48" s="12">
        <f t="shared" si="122"/>
        <v>0.23372781065088755</v>
      </c>
      <c r="M48" s="12">
        <f t="shared" si="122"/>
        <v>1.4388489208633004E-2</v>
      </c>
      <c r="N48" s="12">
        <f>N29/M29-1</f>
        <v>0.13711583924349879</v>
      </c>
      <c r="O48" s="12">
        <f>O29/N29-1</f>
        <v>9.9792099792099798E-2</v>
      </c>
      <c r="P48" s="12">
        <f>P29/O29-1</f>
        <v>0.11531190926275992</v>
      </c>
      <c r="Q48" s="12">
        <v>0.1</v>
      </c>
      <c r="R48" s="12">
        <v>0.1</v>
      </c>
      <c r="X48" s="12">
        <f>X29/W29-1</f>
        <v>0.32906868242404519</v>
      </c>
      <c r="Y48" s="12">
        <f t="shared" ref="Y48:AC48" si="123">Y29/X29-1</f>
        <v>0.1928954445178015</v>
      </c>
      <c r="Z48" s="12">
        <f t="shared" si="123"/>
        <v>1.2045086393088553</v>
      </c>
      <c r="AA48" s="12">
        <f t="shared" si="123"/>
        <v>-0.10293307207152036</v>
      </c>
      <c r="AB48" s="12">
        <f t="shared" si="123"/>
        <v>0.1324232081911263</v>
      </c>
      <c r="AC48" s="12">
        <f t="shared" si="123"/>
        <v>0.49602169981916822</v>
      </c>
      <c r="AD48" s="12">
        <v>0.1</v>
      </c>
      <c r="AE48" s="12">
        <v>0.1</v>
      </c>
      <c r="AF48" s="12">
        <v>0.1</v>
      </c>
      <c r="AG48" s="12">
        <v>0.1</v>
      </c>
      <c r="AH48" s="12">
        <v>0.1</v>
      </c>
      <c r="AI48" s="12">
        <v>0.09</v>
      </c>
      <c r="AJ48" s="12">
        <v>0.09</v>
      </c>
      <c r="AK48" s="12">
        <v>0.08</v>
      </c>
      <c r="AL48" s="12">
        <v>0.08</v>
      </c>
    </row>
    <row r="49" spans="2:42" x14ac:dyDescent="0.25">
      <c r="B49" s="5" t="s">
        <v>137</v>
      </c>
      <c r="C49" s="12"/>
      <c r="D49" s="12">
        <f>D30/C30-1</f>
        <v>-6.0606060606060552E-2</v>
      </c>
      <c r="E49" s="12">
        <f t="shared" ref="E49:M49" si="124">E30/D30-1</f>
        <v>0</v>
      </c>
      <c r="F49" s="12">
        <f t="shared" si="124"/>
        <v>-0.19354838709677424</v>
      </c>
      <c r="G49" s="12">
        <f t="shared" si="124"/>
        <v>0.96000000000000019</v>
      </c>
      <c r="H49" s="12">
        <f t="shared" si="124"/>
        <v>1.4489795918367343</v>
      </c>
      <c r="I49" s="12">
        <f t="shared" si="124"/>
        <v>0.34166666666666679</v>
      </c>
      <c r="J49" s="12">
        <f t="shared" si="124"/>
        <v>-6.8322981366459756E-2</v>
      </c>
      <c r="K49" s="12">
        <f t="shared" si="124"/>
        <v>0.19999999999999996</v>
      </c>
      <c r="L49" s="12">
        <f t="shared" si="124"/>
        <v>-0.11111111111111116</v>
      </c>
      <c r="M49" s="12">
        <f t="shared" si="124"/>
        <v>0.125</v>
      </c>
      <c r="N49" s="12">
        <f>N30/M30-1</f>
        <v>0.11111111111111116</v>
      </c>
      <c r="O49" s="12">
        <f>O30/N30-1</f>
        <v>0.25</v>
      </c>
      <c r="P49" s="12">
        <f>P30/O30-1</f>
        <v>0.19999999999999996</v>
      </c>
      <c r="Q49" s="12">
        <v>0.1</v>
      </c>
      <c r="R49" s="12">
        <v>0.1</v>
      </c>
      <c r="X49" s="12">
        <f>X30/W30-1</f>
        <v>-0.80982821981027264</v>
      </c>
      <c r="Y49" s="12">
        <f t="shared" ref="Y49:AC49" si="125">Y30/X30-1</f>
        <v>-9.2216429983821624E-2</v>
      </c>
      <c r="Z49" s="12">
        <f t="shared" si="125"/>
        <v>0.18811881188118806</v>
      </c>
      <c r="AA49" s="12">
        <f t="shared" si="125"/>
        <v>3.0583333333333336</v>
      </c>
      <c r="AB49" s="12">
        <f t="shared" si="125"/>
        <v>0.47843942505133463</v>
      </c>
      <c r="AC49" s="12">
        <f t="shared" si="125"/>
        <v>0.72638888888888897</v>
      </c>
      <c r="AD49" s="12">
        <v>0.15</v>
      </c>
      <c r="AE49" s="12">
        <v>0.12</v>
      </c>
      <c r="AF49" s="12">
        <v>0.1</v>
      </c>
      <c r="AG49" s="12">
        <v>0.1</v>
      </c>
      <c r="AH49" s="12">
        <v>7.0000000000000007E-2</v>
      </c>
      <c r="AI49" s="12">
        <v>0.05</v>
      </c>
      <c r="AJ49" s="12">
        <v>0.05</v>
      </c>
      <c r="AK49" s="12">
        <v>0.05</v>
      </c>
      <c r="AL49" s="12">
        <v>0.05</v>
      </c>
    </row>
    <row r="50" spans="2:42" x14ac:dyDescent="0.25">
      <c r="B50" s="5" t="s">
        <v>138</v>
      </c>
      <c r="C50" s="12">
        <f t="shared" ref="C50:N50" si="126">C31/C24</f>
        <v>3.8730089461051713E-2</v>
      </c>
      <c r="D50" s="12">
        <f t="shared" si="126"/>
        <v>3.3074935400516793E-2</v>
      </c>
      <c r="E50" s="12">
        <f t="shared" si="126"/>
        <v>3.0721600381043105E-2</v>
      </c>
      <c r="F50" s="12">
        <f t="shared" si="126"/>
        <v>2.7925719068747641E-2</v>
      </c>
      <c r="G50" s="12">
        <f t="shared" si="126"/>
        <v>2.629582806573957E-2</v>
      </c>
      <c r="H50" s="12">
        <f t="shared" si="126"/>
        <v>5.8438012015292189E-2</v>
      </c>
      <c r="I50" s="12">
        <f t="shared" si="126"/>
        <v>7.296380090497738E-2</v>
      </c>
      <c r="J50" s="12">
        <f t="shared" si="126"/>
        <v>6.0170633138751685E-2</v>
      </c>
      <c r="K50" s="12">
        <f t="shared" si="126"/>
        <v>5.0057758952637657E-2</v>
      </c>
      <c r="L50" s="12">
        <f t="shared" si="126"/>
        <v>4.1830065359477121E-2</v>
      </c>
      <c r="M50" s="12">
        <f t="shared" si="126"/>
        <v>3.6498431708012549E-2</v>
      </c>
      <c r="N50" s="12">
        <f t="shared" si="126"/>
        <v>3.6871214116407688E-2</v>
      </c>
      <c r="O50" s="12">
        <f t="shared" ref="O50:P50" si="127">O31/O24</f>
        <v>3.3543448896893292E-2</v>
      </c>
      <c r="P50" s="12">
        <f t="shared" ref="P50" si="128">P31/P24</f>
        <v>3.5856573705179286E-2</v>
      </c>
      <c r="Q50" s="12">
        <v>0.05</v>
      </c>
      <c r="R50" s="12">
        <v>0.05</v>
      </c>
      <c r="W50" s="12">
        <f>W31/W24</f>
        <v>1.8478473916445297E-2</v>
      </c>
      <c r="X50" s="12">
        <f t="shared" ref="X50:AC50" si="129">X31/X24</f>
        <v>2.9607846292481973E-2</v>
      </c>
      <c r="Y50" s="12">
        <f t="shared" si="129"/>
        <v>6.5001888217522646E-2</v>
      </c>
      <c r="Z50" s="12">
        <f t="shared" si="129"/>
        <v>3.2070157470234291E-2</v>
      </c>
      <c r="AA50" s="12">
        <f t="shared" si="129"/>
        <v>5.6295017330464249E-2</v>
      </c>
      <c r="AB50" s="12">
        <f t="shared" si="129"/>
        <v>4.0583288326518016E-2</v>
      </c>
      <c r="AC50" s="12">
        <f t="shared" si="129"/>
        <v>3.4894562434101523E-2</v>
      </c>
      <c r="AD50" s="12">
        <v>0.04</v>
      </c>
      <c r="AE50" s="12">
        <v>0.04</v>
      </c>
      <c r="AF50" s="12">
        <v>0.04</v>
      </c>
      <c r="AG50" s="12">
        <v>0.04</v>
      </c>
      <c r="AH50" s="12">
        <v>0.04</v>
      </c>
      <c r="AI50" s="12">
        <v>0.04</v>
      </c>
      <c r="AJ50" s="12">
        <v>0.04</v>
      </c>
      <c r="AK50" s="12">
        <v>0.04</v>
      </c>
      <c r="AL50" s="12">
        <v>0.04</v>
      </c>
    </row>
    <row r="51" spans="2:42" x14ac:dyDescent="0.25">
      <c r="B51" s="5" t="s">
        <v>139</v>
      </c>
      <c r="C51" s="12"/>
      <c r="D51" s="12"/>
      <c r="E51" s="12"/>
      <c r="F51" s="12">
        <f t="shared" ref="F51:M51" si="130">F32/E32-1</f>
        <v>4.2215336948102422E-2</v>
      </c>
      <c r="G51" s="12">
        <f t="shared" si="130"/>
        <v>3.1586770717205503E-2</v>
      </c>
      <c r="H51" s="12">
        <f t="shared" si="130"/>
        <v>8.0691642651296691E-2</v>
      </c>
      <c r="I51" s="12">
        <f t="shared" si="130"/>
        <v>0.15966666666666662</v>
      </c>
      <c r="J51" s="12">
        <f t="shared" si="130"/>
        <v>-0.13193446392641561</v>
      </c>
      <c r="K51" s="12">
        <f t="shared" si="130"/>
        <v>3.9735099337748325E-2</v>
      </c>
      <c r="L51" s="12">
        <f t="shared" si="130"/>
        <v>0.13057324840764339</v>
      </c>
      <c r="M51" s="12">
        <f t="shared" si="130"/>
        <v>5.3521126760563309E-2</v>
      </c>
      <c r="N51" s="12">
        <f>N32/M32-1</f>
        <v>4.0106951871657692E-2</v>
      </c>
      <c r="O51" s="12">
        <f>O32/N32-1</f>
        <v>1.799485861182526E-2</v>
      </c>
      <c r="P51" s="12">
        <f>P32/O32-1</f>
        <v>6.3131313131313149E-2</v>
      </c>
      <c r="Q51" s="12">
        <v>0.05</v>
      </c>
      <c r="R51" s="12">
        <v>0.05</v>
      </c>
      <c r="Y51" s="12">
        <f>Y32/X32-1</f>
        <v>-0.60269453156622466</v>
      </c>
      <c r="Z51" s="12">
        <f t="shared" ref="Z51:AC51" si="131">Z32/Y32-1</f>
        <v>1.3084803642572567</v>
      </c>
      <c r="AA51" s="12">
        <f t="shared" si="131"/>
        <v>8.7113740959896546E-3</v>
      </c>
      <c r="AB51" s="12">
        <f t="shared" si="131"/>
        <v>0.16669382434414204</v>
      </c>
      <c r="AC51" s="12">
        <f t="shared" si="131"/>
        <v>0.20335370111731832</v>
      </c>
      <c r="AD51" s="12">
        <v>0.3</v>
      </c>
      <c r="AE51" s="12">
        <v>0.3</v>
      </c>
      <c r="AF51" s="12">
        <v>0.25</v>
      </c>
      <c r="AG51" s="12">
        <v>0.2</v>
      </c>
      <c r="AH51" s="12">
        <v>0.15</v>
      </c>
      <c r="AI51" s="12">
        <v>0.1</v>
      </c>
      <c r="AJ51" s="12">
        <v>0.05</v>
      </c>
      <c r="AK51" s="12">
        <v>0.05</v>
      </c>
      <c r="AL51" s="12">
        <v>0.05</v>
      </c>
    </row>
    <row r="52" spans="2:42" x14ac:dyDescent="0.25">
      <c r="B52" s="5" t="s">
        <v>140</v>
      </c>
      <c r="C52" s="12"/>
      <c r="D52" s="12"/>
      <c r="E52" s="12"/>
      <c r="F52" s="12">
        <f t="shared" ref="F52:M52" si="132">F33/E33-1</f>
        <v>0.11633011413520622</v>
      </c>
      <c r="G52" s="12">
        <f t="shared" si="132"/>
        <v>5.5839559575304731E-2</v>
      </c>
      <c r="H52" s="12">
        <f t="shared" si="132"/>
        <v>0.45251396648044695</v>
      </c>
      <c r="I52" s="12">
        <f t="shared" si="132"/>
        <v>0.3502564102564103</v>
      </c>
      <c r="J52" s="12">
        <f t="shared" si="132"/>
        <v>-8.6593239650588738E-2</v>
      </c>
      <c r="K52" s="12">
        <f t="shared" si="132"/>
        <v>-8.5239085239085188E-2</v>
      </c>
      <c r="L52" s="12">
        <f t="shared" si="132"/>
        <v>0.20454545454545459</v>
      </c>
      <c r="M52" s="12">
        <f t="shared" si="132"/>
        <v>0.1132075471698113</v>
      </c>
      <c r="N52" s="12">
        <f>N33/M33-1</f>
        <v>5.7627118644067776E-2</v>
      </c>
      <c r="O52" s="12">
        <f>O33/N33-1</f>
        <v>8.4935897435897356E-2</v>
      </c>
      <c r="P52" s="12">
        <f>P33/O33-1</f>
        <v>0.22599704579025115</v>
      </c>
      <c r="Q52" s="12">
        <v>0.1</v>
      </c>
      <c r="R52" s="12">
        <v>0.1</v>
      </c>
      <c r="Z52" s="12">
        <f>Z33/Y33-1</f>
        <v>0.80714738845421863</v>
      </c>
      <c r="AA52" s="12">
        <f t="shared" ref="AA52:AC52" si="133">AA33/Z33-1</f>
        <v>0.94851392464310846</v>
      </c>
      <c r="AB52" s="12">
        <f t="shared" si="133"/>
        <v>0.31155416766754729</v>
      </c>
      <c r="AC52" s="12">
        <f t="shared" si="133"/>
        <v>0.56790293040293038</v>
      </c>
      <c r="AD52" s="12">
        <v>0.3</v>
      </c>
      <c r="AE52" s="12">
        <v>0.3</v>
      </c>
      <c r="AF52" s="12">
        <v>0.2</v>
      </c>
      <c r="AG52" s="12">
        <v>0.2</v>
      </c>
      <c r="AH52" s="12">
        <v>0.2</v>
      </c>
      <c r="AI52" s="12">
        <v>0.15</v>
      </c>
      <c r="AJ52" s="12">
        <v>0.15</v>
      </c>
      <c r="AK52" s="12">
        <v>0.15</v>
      </c>
      <c r="AL52" s="12">
        <v>0.15</v>
      </c>
    </row>
    <row r="54" spans="2:42" x14ac:dyDescent="0.25">
      <c r="B54" s="5" t="s">
        <v>79</v>
      </c>
      <c r="P54" s="3">
        <f>P67-P72-P73</f>
        <v>-653</v>
      </c>
      <c r="Q54" s="3">
        <f>P54+Q40</f>
        <v>-531.29566724000028</v>
      </c>
      <c r="R54" s="3">
        <f>Q54+R40</f>
        <v>-384.62176688000102</v>
      </c>
      <c r="AC54" s="3">
        <f>R54</f>
        <v>-384.62176688000102</v>
      </c>
      <c r="AD54" s="3">
        <f t="shared" ref="AD54:AL54" si="134">AC54+AD40</f>
        <v>4608.594073119998</v>
      </c>
      <c r="AE54" s="3">
        <f t="shared" si="134"/>
        <v>14752.40159318865</v>
      </c>
      <c r="AF54" s="3">
        <f t="shared" si="134"/>
        <v>33606.273856813656</v>
      </c>
      <c r="AG54" s="3">
        <f t="shared" si="134"/>
        <v>64838.367902267775</v>
      </c>
      <c r="AH54" s="3">
        <f t="shared" si="134"/>
        <v>108738.52053451724</v>
      </c>
      <c r="AI54" s="3">
        <f t="shared" si="134"/>
        <v>164807.63121818739</v>
      </c>
      <c r="AJ54" s="3">
        <f t="shared" si="134"/>
        <v>236995.26598889905</v>
      </c>
      <c r="AK54" s="3">
        <f t="shared" si="134"/>
        <v>316456.75898395543</v>
      </c>
      <c r="AL54" s="3">
        <f t="shared" si="134"/>
        <v>403862.31763413455</v>
      </c>
    </row>
    <row r="55" spans="2:42" x14ac:dyDescent="0.25">
      <c r="B55" s="6" t="s">
        <v>55</v>
      </c>
      <c r="H55" s="3" t="s">
        <v>56</v>
      </c>
    </row>
    <row r="56" spans="2:42" x14ac:dyDescent="0.25">
      <c r="B56" s="5" t="s">
        <v>57</v>
      </c>
      <c r="N56" s="3">
        <v>287</v>
      </c>
      <c r="O56" s="3">
        <v>353</v>
      </c>
      <c r="P56" s="3">
        <v>513</v>
      </c>
      <c r="AO56" s="3" t="s">
        <v>133</v>
      </c>
      <c r="AP56" s="12">
        <v>0.03</v>
      </c>
    </row>
    <row r="57" spans="2:42" x14ac:dyDescent="0.25">
      <c r="B57" s="5" t="s">
        <v>58</v>
      </c>
      <c r="N57" s="3">
        <v>18</v>
      </c>
      <c r="O57" s="3">
        <v>45</v>
      </c>
      <c r="P57" s="3">
        <v>59</v>
      </c>
      <c r="AO57" s="3" t="s">
        <v>134</v>
      </c>
      <c r="AP57" s="12">
        <v>0.01</v>
      </c>
    </row>
    <row r="58" spans="2:42" x14ac:dyDescent="0.25">
      <c r="B58" s="5" t="s">
        <v>59</v>
      </c>
      <c r="N58" s="3">
        <v>690</v>
      </c>
      <c r="O58" s="3">
        <v>816</v>
      </c>
      <c r="P58" s="3">
        <v>1074</v>
      </c>
      <c r="AO58" s="3" t="s">
        <v>135</v>
      </c>
      <c r="AP58" s="12">
        <v>0.18</v>
      </c>
    </row>
    <row r="59" spans="2:42" x14ac:dyDescent="0.25">
      <c r="B59" s="5" t="s">
        <v>60</v>
      </c>
      <c r="N59" s="3">
        <v>4717</v>
      </c>
      <c r="O59" s="3">
        <v>4717</v>
      </c>
      <c r="P59" s="3">
        <v>5737</v>
      </c>
      <c r="AO59" s="3" t="s">
        <v>136</v>
      </c>
      <c r="AP59" s="3">
        <f>NPV(AP58,AD40:HA40)-Main!I8+Main!I7</f>
        <v>277229.53126871213</v>
      </c>
    </row>
    <row r="60" spans="2:42" x14ac:dyDescent="0.25">
      <c r="B60" s="5" t="s">
        <v>61</v>
      </c>
      <c r="N60" s="3">
        <v>754</v>
      </c>
      <c r="O60" s="3">
        <v>700</v>
      </c>
      <c r="P60" s="3">
        <v>1066</v>
      </c>
      <c r="AO60" s="3" t="s">
        <v>3</v>
      </c>
      <c r="AP60" s="15">
        <f>AP59/Main!I5</f>
        <v>317.92377439072493</v>
      </c>
    </row>
    <row r="61" spans="2:42" x14ac:dyDescent="0.25">
      <c r="B61" s="5" t="s">
        <v>62</v>
      </c>
      <c r="N61" s="3">
        <f>10365+1280</f>
        <v>11645</v>
      </c>
      <c r="O61" s="3">
        <f>10214+2283</f>
        <v>12497</v>
      </c>
      <c r="P61" s="3">
        <f>10333+1375</f>
        <v>11708</v>
      </c>
      <c r="AO61" s="3" t="s">
        <v>143</v>
      </c>
      <c r="AP61" s="12">
        <f>AP60/Main!I4-1</f>
        <v>0.32424097963480891</v>
      </c>
    </row>
    <row r="62" spans="2:42" x14ac:dyDescent="0.25">
      <c r="B62" s="5" t="s">
        <v>63</v>
      </c>
      <c r="N62" s="3">
        <f>747+2324</f>
        <v>3071</v>
      </c>
      <c r="O62" s="3">
        <f>605+2141</f>
        <v>2746</v>
      </c>
      <c r="P62" s="3">
        <f>304+1446</f>
        <v>1750</v>
      </c>
    </row>
    <row r="63" spans="2:42" x14ac:dyDescent="0.25">
      <c r="B63" s="5" t="s">
        <v>64</v>
      </c>
      <c r="N63" s="3">
        <v>221</v>
      </c>
      <c r="O63" s="3">
        <v>230</v>
      </c>
      <c r="P63" s="3">
        <v>216</v>
      </c>
    </row>
    <row r="64" spans="2:42" x14ac:dyDescent="0.25">
      <c r="B64" s="5" t="s">
        <v>65</v>
      </c>
      <c r="N64" s="3">
        <v>99</v>
      </c>
      <c r="O64" s="3">
        <v>97</v>
      </c>
      <c r="P64" s="3">
        <v>533</v>
      </c>
      <c r="AO64" s="8"/>
    </row>
    <row r="65" spans="2:16" x14ac:dyDescent="0.25">
      <c r="B65" s="5" t="s">
        <v>81</v>
      </c>
      <c r="N65" s="3">
        <v>794</v>
      </c>
      <c r="O65" s="3">
        <v>1155</v>
      </c>
      <c r="P65" s="3">
        <v>1375</v>
      </c>
    </row>
    <row r="66" spans="2:16" x14ac:dyDescent="0.25">
      <c r="B66" s="5" t="s">
        <v>80</v>
      </c>
      <c r="N66" s="3">
        <v>88</v>
      </c>
      <c r="O66" s="3">
        <v>105</v>
      </c>
      <c r="P66" s="3">
        <v>140</v>
      </c>
    </row>
    <row r="67" spans="2:16" x14ac:dyDescent="0.25">
      <c r="B67" s="5" t="s">
        <v>5</v>
      </c>
      <c r="N67" s="3">
        <f>309+422</f>
        <v>731</v>
      </c>
      <c r="O67" s="3">
        <f>249+223</f>
        <v>472</v>
      </c>
      <c r="P67" s="3">
        <f>375+131</f>
        <v>506</v>
      </c>
    </row>
    <row r="68" spans="2:16" x14ac:dyDescent="0.25">
      <c r="B68" s="5" t="s">
        <v>66</v>
      </c>
      <c r="N68" s="3">
        <v>0</v>
      </c>
      <c r="O68" s="3">
        <v>0</v>
      </c>
      <c r="P68" s="3">
        <v>0</v>
      </c>
    </row>
    <row r="69" spans="2:16" x14ac:dyDescent="0.25">
      <c r="B69" s="5" t="s">
        <v>67</v>
      </c>
      <c r="N69" s="3">
        <v>241</v>
      </c>
      <c r="O69" s="3">
        <v>219</v>
      </c>
      <c r="P69" s="3">
        <v>528</v>
      </c>
    </row>
    <row r="70" spans="2:16" x14ac:dyDescent="0.25">
      <c r="B70" s="6" t="s">
        <v>68</v>
      </c>
      <c r="N70" s="8">
        <f>SUM(N56:N69)</f>
        <v>23356</v>
      </c>
      <c r="O70" s="8">
        <f>SUM(O56:O69)</f>
        <v>24152</v>
      </c>
      <c r="P70" s="8">
        <f>SUM(P56:P69)</f>
        <v>25205</v>
      </c>
    </row>
    <row r="71" spans="2:16" x14ac:dyDescent="0.25">
      <c r="B71" s="5"/>
    </row>
    <row r="72" spans="2:16" x14ac:dyDescent="0.25">
      <c r="B72" s="5" t="s">
        <v>69</v>
      </c>
      <c r="N72" s="3">
        <v>0</v>
      </c>
      <c r="O72" s="3">
        <v>0</v>
      </c>
      <c r="P72" s="3">
        <v>0</v>
      </c>
    </row>
    <row r="73" spans="2:16" x14ac:dyDescent="0.25">
      <c r="B73" s="5" t="s">
        <v>70</v>
      </c>
      <c r="N73" s="3">
        <f>588+161</f>
        <v>749</v>
      </c>
      <c r="O73" s="3">
        <f>185+701</f>
        <v>886</v>
      </c>
      <c r="P73" s="3">
        <f>932+227</f>
        <v>1159</v>
      </c>
    </row>
    <row r="74" spans="2:16" x14ac:dyDescent="0.25">
      <c r="B74" s="5" t="s">
        <v>71</v>
      </c>
      <c r="N74" s="3">
        <f>3+644</f>
        <v>647</v>
      </c>
      <c r="O74" s="3">
        <f>3+707</f>
        <v>710</v>
      </c>
      <c r="P74" s="3">
        <f>2+849</f>
        <v>851</v>
      </c>
    </row>
    <row r="75" spans="2:16" x14ac:dyDescent="0.25">
      <c r="B75" s="5" t="s">
        <v>72</v>
      </c>
      <c r="N75" s="3">
        <f>88+29</f>
        <v>117</v>
      </c>
      <c r="O75" s="3">
        <f>86+33</f>
        <v>119</v>
      </c>
      <c r="P75" s="3">
        <f>97+36</f>
        <v>133</v>
      </c>
    </row>
    <row r="76" spans="2:16" x14ac:dyDescent="0.25">
      <c r="B76" s="5" t="s">
        <v>73</v>
      </c>
      <c r="N76" s="3">
        <v>188</v>
      </c>
      <c r="O76" s="3">
        <v>174</v>
      </c>
      <c r="P76" s="3">
        <v>198</v>
      </c>
    </row>
    <row r="77" spans="2:16" x14ac:dyDescent="0.25">
      <c r="B77" s="5" t="s">
        <v>74</v>
      </c>
      <c r="N77" s="3">
        <f>15+871</f>
        <v>886</v>
      </c>
      <c r="O77" s="3">
        <f>15+1016</f>
        <v>1031</v>
      </c>
      <c r="P77" s="3">
        <f>28+1101</f>
        <v>1129</v>
      </c>
    </row>
    <row r="78" spans="2:16" x14ac:dyDescent="0.25">
      <c r="B78" s="5" t="s">
        <v>75</v>
      </c>
      <c r="N78" s="3">
        <v>363</v>
      </c>
      <c r="O78" s="3">
        <v>372</v>
      </c>
      <c r="P78" s="3">
        <v>424</v>
      </c>
    </row>
    <row r="79" spans="2:16" x14ac:dyDescent="0.25">
      <c r="B79" s="5" t="s">
        <v>76</v>
      </c>
      <c r="N79" s="8">
        <f>SUM(N72:N78)</f>
        <v>2950</v>
      </c>
      <c r="O79" s="8">
        <f>SUM(O72:O78)</f>
        <v>3292</v>
      </c>
      <c r="P79" s="8">
        <f>SUM(P72:P78)</f>
        <v>3894</v>
      </c>
    </row>
    <row r="80" spans="2:16" x14ac:dyDescent="0.25">
      <c r="B80" s="5" t="s">
        <v>77</v>
      </c>
      <c r="N80" s="3">
        <v>20406</v>
      </c>
      <c r="O80" s="3">
        <v>20860</v>
      </c>
      <c r="P80" s="3">
        <v>21311</v>
      </c>
    </row>
    <row r="81" spans="2:16" x14ac:dyDescent="0.25">
      <c r="B81" s="6" t="s">
        <v>78</v>
      </c>
      <c r="N81" s="8">
        <f>N80+N79</f>
        <v>23356</v>
      </c>
      <c r="O81" s="8">
        <f>O80+O79</f>
        <v>24152</v>
      </c>
      <c r="P81" s="8">
        <f>P79+P80</f>
        <v>25205</v>
      </c>
    </row>
    <row r="84" spans="2:16" x14ac:dyDescent="0.25">
      <c r="B84" s="5" t="s">
        <v>48</v>
      </c>
      <c r="C84" s="3">
        <f>C40</f>
        <v>-360.7</v>
      </c>
      <c r="D84" s="3">
        <f t="shared" ref="D84:N84" si="135">D40</f>
        <v>-434.90000000000003</v>
      </c>
      <c r="E84" s="3">
        <f t="shared" si="135"/>
        <v>-67.200000000000102</v>
      </c>
      <c r="F84" s="3">
        <f t="shared" si="135"/>
        <v>-359.69000000000017</v>
      </c>
      <c r="G84" s="3">
        <f t="shared" si="135"/>
        <v>-185.70000000000016</v>
      </c>
      <c r="H84" s="3">
        <f t="shared" si="135"/>
        <v>-251</v>
      </c>
      <c r="I84" s="3">
        <f t="shared" si="135"/>
        <v>-346.70000000000027</v>
      </c>
      <c r="J84" s="3">
        <f t="shared" si="135"/>
        <v>-188</v>
      </c>
      <c r="K84" s="3">
        <f t="shared" si="135"/>
        <v>2</v>
      </c>
      <c r="L84" s="3">
        <f t="shared" si="135"/>
        <v>36</v>
      </c>
      <c r="M84" s="3">
        <f t="shared" si="135"/>
        <v>138</v>
      </c>
      <c r="N84" s="3">
        <f t="shared" si="135"/>
        <v>175</v>
      </c>
      <c r="O84" s="3">
        <f>O40</f>
        <v>253</v>
      </c>
      <c r="P84" s="3">
        <f>P40</f>
        <v>176</v>
      </c>
    </row>
    <row r="85" spans="2:16" x14ac:dyDescent="0.25">
      <c r="B85" s="5" t="s">
        <v>49</v>
      </c>
      <c r="C85" s="3">
        <v>-360.7</v>
      </c>
      <c r="D85" s="3">
        <v>-434.9</v>
      </c>
      <c r="E85" s="3">
        <v>-67.2</v>
      </c>
      <c r="F85" s="3">
        <v>-359.7</v>
      </c>
      <c r="G85" s="3">
        <v>-186</v>
      </c>
      <c r="H85" s="3">
        <v>-251</v>
      </c>
      <c r="I85" s="3">
        <v>-346.6</v>
      </c>
      <c r="J85" s="3">
        <v>-188</v>
      </c>
      <c r="K85" s="3">
        <v>2</v>
      </c>
      <c r="L85" s="3">
        <v>36</v>
      </c>
      <c r="M85" s="3">
        <v>138</v>
      </c>
      <c r="N85" s="3">
        <v>175</v>
      </c>
      <c r="O85" s="3">
        <v>253</v>
      </c>
      <c r="P85" s="3">
        <v>176</v>
      </c>
    </row>
    <row r="86" spans="2:16" x14ac:dyDescent="0.25">
      <c r="B86" s="5"/>
    </row>
    <row r="87" spans="2:16" x14ac:dyDescent="0.25">
      <c r="B87" s="6" t="s">
        <v>82</v>
      </c>
    </row>
    <row r="88" spans="2:16" x14ac:dyDescent="0.25">
      <c r="B88" s="5" t="s">
        <v>29</v>
      </c>
      <c r="C88" s="3">
        <f>C85+C39</f>
        <v>-359</v>
      </c>
      <c r="D88" s="3">
        <f t="shared" ref="D88:N88" si="136">D85+D39</f>
        <v>-434.9</v>
      </c>
      <c r="E88" s="3">
        <f t="shared" si="136"/>
        <v>-67.2</v>
      </c>
      <c r="F88" s="3">
        <f t="shared" si="136"/>
        <v>-359.4</v>
      </c>
      <c r="G88" s="3">
        <f t="shared" si="136"/>
        <v>-186</v>
      </c>
      <c r="H88" s="3">
        <f t="shared" si="136"/>
        <v>-261</v>
      </c>
      <c r="I88" s="3">
        <f t="shared" si="136"/>
        <v>-363.6</v>
      </c>
      <c r="J88" s="3">
        <f t="shared" si="136"/>
        <v>-204</v>
      </c>
      <c r="K88" s="3">
        <f t="shared" si="136"/>
        <v>-15</v>
      </c>
      <c r="L88" s="3">
        <f t="shared" si="136"/>
        <v>21</v>
      </c>
      <c r="M88" s="3">
        <f t="shared" si="136"/>
        <v>124</v>
      </c>
      <c r="N88" s="3">
        <f t="shared" si="136"/>
        <v>161</v>
      </c>
      <c r="O88" s="3">
        <f>O85+O39</f>
        <v>239</v>
      </c>
      <c r="P88" s="3">
        <f>P85+P39</f>
        <v>237</v>
      </c>
    </row>
    <row r="89" spans="2:16" x14ac:dyDescent="0.25">
      <c r="B89" s="5" t="s">
        <v>83</v>
      </c>
      <c r="H89" s="3">
        <v>42</v>
      </c>
      <c r="J89" s="3">
        <v>61</v>
      </c>
      <c r="K89" s="3">
        <v>62</v>
      </c>
      <c r="L89" s="3">
        <v>67</v>
      </c>
      <c r="M89" s="3">
        <f>71</f>
        <v>71</v>
      </c>
      <c r="N89" s="3">
        <v>84</v>
      </c>
      <c r="O89" s="3">
        <v>93</v>
      </c>
      <c r="P89" s="3">
        <v>114</v>
      </c>
    </row>
    <row r="90" spans="2:16" x14ac:dyDescent="0.25">
      <c r="B90" s="5" t="s">
        <v>84</v>
      </c>
      <c r="H90" s="3">
        <f>64+5</f>
        <v>69</v>
      </c>
      <c r="J90" s="3">
        <f>73</f>
        <v>73</v>
      </c>
      <c r="K90" s="3">
        <f>68-1+1</f>
        <v>68</v>
      </c>
      <c r="L90" s="3">
        <f>61-9+1</f>
        <v>53</v>
      </c>
      <c r="M90" s="3">
        <f>57-12-1</f>
        <v>44</v>
      </c>
      <c r="N90" s="3">
        <f>56+-19-1</f>
        <v>36</v>
      </c>
      <c r="O90" s="3">
        <f>56-21</f>
        <v>35</v>
      </c>
      <c r="P90" s="3">
        <f>66-22-1</f>
        <v>43</v>
      </c>
    </row>
    <row r="91" spans="2:16" x14ac:dyDescent="0.25">
      <c r="B91" s="5" t="s">
        <v>85</v>
      </c>
      <c r="H91" s="3">
        <f>-6+8</f>
        <v>2</v>
      </c>
      <c r="J91" s="3">
        <f>-11+14+1-5</f>
        <v>-1</v>
      </c>
      <c r="K91" s="3">
        <f>-1+6-3</f>
        <v>2</v>
      </c>
      <c r="L91" s="3">
        <f>-2+31-3</f>
        <v>26</v>
      </c>
      <c r="M91" s="3">
        <f>-1+20-1</f>
        <v>18</v>
      </c>
      <c r="N91" s="3">
        <f>+-5+11+1-3</f>
        <v>4</v>
      </c>
      <c r="O91" s="3">
        <f>16-2</f>
        <v>14</v>
      </c>
      <c r="P91" s="3">
        <f>-1+15</f>
        <v>14</v>
      </c>
    </row>
    <row r="92" spans="2:16" x14ac:dyDescent="0.25">
      <c r="B92" s="5" t="s">
        <v>86</v>
      </c>
      <c r="H92" s="3">
        <v>137</v>
      </c>
      <c r="J92" s="3">
        <v>84</v>
      </c>
      <c r="K92" s="3">
        <v>99</v>
      </c>
      <c r="L92" s="3">
        <v>132</v>
      </c>
      <c r="M92" s="3">
        <v>122</v>
      </c>
      <c r="N92" s="3">
        <v>161</v>
      </c>
      <c r="O92" s="3">
        <v>185</v>
      </c>
      <c r="P92" s="3">
        <v>179</v>
      </c>
    </row>
    <row r="93" spans="2:16" x14ac:dyDescent="0.25">
      <c r="B93" s="5" t="s">
        <v>57</v>
      </c>
      <c r="H93" s="3">
        <v>0</v>
      </c>
      <c r="J93" s="3">
        <v>-1</v>
      </c>
      <c r="K93" s="3">
        <v>0</v>
      </c>
      <c r="L93" s="3">
        <v>-1</v>
      </c>
      <c r="M93" s="3">
        <v>0</v>
      </c>
      <c r="N93" s="3">
        <v>2</v>
      </c>
      <c r="O93" s="3">
        <v>2</v>
      </c>
      <c r="P93" s="3">
        <v>-1</v>
      </c>
    </row>
    <row r="94" spans="2:16" x14ac:dyDescent="0.25">
      <c r="B94" s="5" t="s">
        <v>87</v>
      </c>
      <c r="H94" s="3">
        <f>-18-19-118</f>
        <v>-155</v>
      </c>
      <c r="J94" s="3">
        <f>-14-38</f>
        <v>-52</v>
      </c>
      <c r="K94" s="3">
        <f>-41-27-36-69</f>
        <v>-173</v>
      </c>
      <c r="L94" s="3">
        <f>-24-31-87-56</f>
        <v>-198</v>
      </c>
      <c r="M94" s="3">
        <f>-30-27-92</f>
        <v>-149</v>
      </c>
      <c r="N94" s="3">
        <f>+-33-22-105</f>
        <v>-160</v>
      </c>
      <c r="O94" s="3">
        <v>-31</v>
      </c>
      <c r="P94" s="3">
        <v>-33</v>
      </c>
    </row>
    <row r="95" spans="2:16" x14ac:dyDescent="0.25">
      <c r="B95" s="5" t="s">
        <v>88</v>
      </c>
      <c r="H95" s="3">
        <f>1+10</f>
        <v>11</v>
      </c>
      <c r="J95" s="3">
        <f>2+14-98-3+1</f>
        <v>-84</v>
      </c>
      <c r="K95" s="3">
        <f>2+15</f>
        <v>17</v>
      </c>
      <c r="L95" s="3">
        <v>16</v>
      </c>
      <c r="M95" s="3">
        <f>16-49-2</f>
        <v>-35</v>
      </c>
      <c r="N95" s="3">
        <f>20-46-1</f>
        <v>-27</v>
      </c>
      <c r="O95" s="3">
        <f>-109-21-45+24-4</f>
        <v>-155</v>
      </c>
      <c r="P95" s="3">
        <f>-23-110-30+30</f>
        <v>-133</v>
      </c>
    </row>
    <row r="96" spans="2:16" x14ac:dyDescent="0.25">
      <c r="B96" s="5" t="s">
        <v>89</v>
      </c>
      <c r="H96" s="3">
        <f>-83+8-23-35-12+11-21</f>
        <v>-155</v>
      </c>
      <c r="J96" s="3">
        <f>-48+50+56+2-77-164</f>
        <v>-181</v>
      </c>
      <c r="K96" s="3">
        <f>-19-2+9+5+36-17+14</f>
        <v>26</v>
      </c>
      <c r="L96" s="3">
        <f>-86-61+57-11+129+2+93</f>
        <v>123</v>
      </c>
      <c r="M96" s="3">
        <f>-125-181+15-1+238+7+82</f>
        <v>35</v>
      </c>
      <c r="N96" s="3">
        <f>-118-49+52+2+16+8+22</f>
        <v>-67</v>
      </c>
      <c r="O96" s="3">
        <f>-366-48+33-17+75+1+145</f>
        <v>-177</v>
      </c>
      <c r="P96" s="3">
        <f>-168+21-186-35+135+8+77</f>
        <v>-148</v>
      </c>
    </row>
    <row r="97" spans="2:16" x14ac:dyDescent="0.25">
      <c r="B97" s="5" t="s">
        <v>90</v>
      </c>
      <c r="H97" s="3">
        <v>-22</v>
      </c>
      <c r="J97" s="3">
        <v>4</v>
      </c>
      <c r="K97" s="3">
        <v>-17</v>
      </c>
      <c r="L97" s="3">
        <v>-20</v>
      </c>
      <c r="M97" s="3">
        <v>-48</v>
      </c>
      <c r="N97" s="3">
        <v>-20</v>
      </c>
      <c r="O97" s="3">
        <v>-5</v>
      </c>
      <c r="P97" s="3">
        <v>-51</v>
      </c>
    </row>
    <row r="98" spans="2:16" x14ac:dyDescent="0.25">
      <c r="B98" s="5" t="s">
        <v>91</v>
      </c>
      <c r="C98" s="8">
        <f t="shared" ref="C98:M98" si="137">SUM(C88:C97)</f>
        <v>-359</v>
      </c>
      <c r="D98" s="8">
        <f t="shared" si="137"/>
        <v>-434.9</v>
      </c>
      <c r="E98" s="8">
        <f t="shared" si="137"/>
        <v>-67.2</v>
      </c>
      <c r="F98" s="8">
        <f t="shared" si="137"/>
        <v>-359.4</v>
      </c>
      <c r="G98" s="8">
        <f t="shared" si="137"/>
        <v>-186</v>
      </c>
      <c r="H98" s="8">
        <f t="shared" si="137"/>
        <v>-332</v>
      </c>
      <c r="I98" s="8">
        <f t="shared" si="137"/>
        <v>-363.6</v>
      </c>
      <c r="J98" s="8">
        <f t="shared" si="137"/>
        <v>-301</v>
      </c>
      <c r="K98" s="8">
        <f t="shared" si="137"/>
        <v>69</v>
      </c>
      <c r="L98" s="8">
        <f t="shared" si="137"/>
        <v>219</v>
      </c>
      <c r="M98" s="8">
        <f t="shared" si="137"/>
        <v>182</v>
      </c>
      <c r="N98" s="8">
        <f>SUM(N88:N97)</f>
        <v>174</v>
      </c>
      <c r="O98" s="8">
        <f>SUM(O88:O97)</f>
        <v>200</v>
      </c>
      <c r="P98" s="8">
        <f>SUM(P88:P97)</f>
        <v>221</v>
      </c>
    </row>
    <row r="100" spans="2:16" x14ac:dyDescent="0.25">
      <c r="B100" s="5" t="s">
        <v>92</v>
      </c>
      <c r="H100" s="3">
        <v>-31</v>
      </c>
      <c r="J100" s="3">
        <f>-26+2</f>
        <v>-24</v>
      </c>
      <c r="K100" s="3">
        <f>-29+5</f>
        <v>-24</v>
      </c>
      <c r="L100" s="3">
        <f>-38+3</f>
        <v>-35</v>
      </c>
      <c r="M100" s="3">
        <f>-61+1</f>
        <v>-60</v>
      </c>
      <c r="N100" s="3">
        <f>-87+4</f>
        <v>-83</v>
      </c>
      <c r="O100" s="3">
        <f>-146+2</f>
        <v>-144</v>
      </c>
      <c r="P100" s="3">
        <f>-215+1</f>
        <v>-214</v>
      </c>
    </row>
    <row r="101" spans="2:16" x14ac:dyDescent="0.25">
      <c r="B101" s="5" t="s">
        <v>62</v>
      </c>
      <c r="H101" s="3">
        <f>-2802+3368+1683-2120+7</f>
        <v>136</v>
      </c>
      <c r="J101" s="3">
        <f>-1119+3067+7323-9411-42-50</f>
        <v>-232</v>
      </c>
      <c r="K101" s="3">
        <f>-1165+4661+10079-7927-1510+50-4456</f>
        <v>-268</v>
      </c>
      <c r="L101" s="3">
        <f>-169+291+4901-4993-102</f>
        <v>-72</v>
      </c>
      <c r="M101" s="3">
        <f>-158+678+6723-7139+2-375+735-779</f>
        <v>-313</v>
      </c>
      <c r="N101" s="3">
        <f>-452+308+7806-6951-535+150-435</f>
        <v>-109</v>
      </c>
      <c r="O101" s="3">
        <f>-130+612+6840-7651+25</f>
        <v>-304</v>
      </c>
      <c r="P101" s="3">
        <f>-304+1339+10166-9256+35</f>
        <v>1980</v>
      </c>
    </row>
    <row r="102" spans="2:16" x14ac:dyDescent="0.25">
      <c r="B102" s="5" t="s">
        <v>93</v>
      </c>
      <c r="H102" s="3">
        <v>-61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-2005</v>
      </c>
    </row>
    <row r="103" spans="2:16" x14ac:dyDescent="0.25">
      <c r="B103" s="5" t="s">
        <v>17</v>
      </c>
      <c r="H103" s="3">
        <v>111</v>
      </c>
      <c r="J103" s="3">
        <v>247</v>
      </c>
      <c r="K103" s="3">
        <v>329</v>
      </c>
      <c r="L103" s="3">
        <v>37</v>
      </c>
      <c r="M103" s="3">
        <v>136</v>
      </c>
      <c r="N103" s="3">
        <f>116</f>
        <v>116</v>
      </c>
      <c r="O103" s="3">
        <v>255</v>
      </c>
      <c r="P103" s="3">
        <v>227</v>
      </c>
    </row>
    <row r="104" spans="2:16" x14ac:dyDescent="0.25">
      <c r="B104" s="5" t="s">
        <v>94</v>
      </c>
      <c r="C104" s="8">
        <f t="shared" ref="C104:M104" si="138">SUM(C100:C103)</f>
        <v>0</v>
      </c>
      <c r="D104" s="8">
        <f t="shared" si="138"/>
        <v>0</v>
      </c>
      <c r="E104" s="8">
        <f t="shared" si="138"/>
        <v>0</v>
      </c>
      <c r="F104" s="8">
        <f t="shared" si="138"/>
        <v>0</v>
      </c>
      <c r="G104" s="8">
        <f t="shared" si="138"/>
        <v>0</v>
      </c>
      <c r="H104" s="8">
        <f t="shared" si="138"/>
        <v>155</v>
      </c>
      <c r="I104" s="8">
        <f t="shared" si="138"/>
        <v>0</v>
      </c>
      <c r="J104" s="8">
        <f t="shared" si="138"/>
        <v>-9</v>
      </c>
      <c r="K104" s="8">
        <f t="shared" si="138"/>
        <v>37</v>
      </c>
      <c r="L104" s="8">
        <f t="shared" si="138"/>
        <v>-70</v>
      </c>
      <c r="M104" s="8">
        <f t="shared" si="138"/>
        <v>-237</v>
      </c>
      <c r="N104" s="8">
        <f>SUM(N100:N103)</f>
        <v>-76</v>
      </c>
      <c r="O104" s="8">
        <f>SUM(O100:O103)</f>
        <v>-193</v>
      </c>
      <c r="P104" s="8">
        <f>SUM(P100:P103)</f>
        <v>-12</v>
      </c>
    </row>
    <row r="106" spans="2:16" x14ac:dyDescent="0.25">
      <c r="B106" s="5" t="s">
        <v>95</v>
      </c>
      <c r="H106" s="3">
        <v>6</v>
      </c>
      <c r="J106" s="3">
        <v>0</v>
      </c>
      <c r="K106" s="3">
        <v>2</v>
      </c>
      <c r="L106" s="3">
        <v>2</v>
      </c>
      <c r="M106" s="3">
        <v>10</v>
      </c>
      <c r="N106" s="3">
        <v>9</v>
      </c>
      <c r="O106" s="3">
        <v>0</v>
      </c>
      <c r="P106" s="3">
        <v>0</v>
      </c>
    </row>
    <row r="107" spans="2:16" x14ac:dyDescent="0.25">
      <c r="B107" s="5" t="s">
        <v>97</v>
      </c>
      <c r="H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2:16" x14ac:dyDescent="0.25">
      <c r="B108" s="5" t="s">
        <v>96</v>
      </c>
      <c r="H108" s="3">
        <v>-3</v>
      </c>
      <c r="J108" s="3">
        <v>-8</v>
      </c>
      <c r="K108" s="3">
        <v>-40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2:16" x14ac:dyDescent="0.25">
      <c r="B109" s="5" t="s">
        <v>98</v>
      </c>
      <c r="H109" s="3">
        <v>0</v>
      </c>
      <c r="J109" s="3">
        <v>0</v>
      </c>
      <c r="K109" s="3">
        <v>0</v>
      </c>
      <c r="L109" s="3">
        <v>6</v>
      </c>
      <c r="M109" s="3">
        <f>2</f>
        <v>2</v>
      </c>
      <c r="N109" s="3">
        <f>1</f>
        <v>1</v>
      </c>
      <c r="O109" s="3">
        <v>2</v>
      </c>
      <c r="P109" s="3">
        <v>1</v>
      </c>
    </row>
    <row r="110" spans="2:16" x14ac:dyDescent="0.25">
      <c r="B110" s="5" t="s">
        <v>99</v>
      </c>
      <c r="H110" s="3">
        <f>-17-10</f>
        <v>-27</v>
      </c>
      <c r="J110" s="3">
        <f>-23-14</f>
        <v>-37</v>
      </c>
      <c r="K110" s="3">
        <f>-28-15</f>
        <v>-43</v>
      </c>
      <c r="L110" s="3">
        <f>-29-16</f>
        <v>-45</v>
      </c>
      <c r="M110" s="3">
        <f>0-34-16</f>
        <v>-50</v>
      </c>
      <c r="N110" s="3">
        <f>-38-20</f>
        <v>-58</v>
      </c>
      <c r="O110" s="3">
        <f>-45-24</f>
        <v>-69</v>
      </c>
      <c r="P110" s="3">
        <f>-54-30</f>
        <v>-84</v>
      </c>
    </row>
    <row r="111" spans="2:16" x14ac:dyDescent="0.25">
      <c r="B111" s="5" t="s">
        <v>88</v>
      </c>
      <c r="H111" s="3">
        <v>-5</v>
      </c>
      <c r="J111" s="3">
        <v>-1</v>
      </c>
      <c r="K111" s="3">
        <v>-2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2:16" x14ac:dyDescent="0.25">
      <c r="B112" s="5" t="s">
        <v>100</v>
      </c>
      <c r="C112" s="3">
        <f t="shared" ref="C112:M112" si="139">SUM(C106:C111)</f>
        <v>0</v>
      </c>
      <c r="D112" s="3">
        <f t="shared" si="139"/>
        <v>0</v>
      </c>
      <c r="E112" s="3">
        <f t="shared" si="139"/>
        <v>0</v>
      </c>
      <c r="F112" s="3">
        <f t="shared" si="139"/>
        <v>0</v>
      </c>
      <c r="G112" s="3">
        <f t="shared" si="139"/>
        <v>0</v>
      </c>
      <c r="H112" s="3">
        <f t="shared" si="139"/>
        <v>-29</v>
      </c>
      <c r="I112" s="3">
        <f t="shared" si="139"/>
        <v>0</v>
      </c>
      <c r="J112" s="3">
        <f t="shared" si="139"/>
        <v>-46</v>
      </c>
      <c r="K112" s="3">
        <f t="shared" si="139"/>
        <v>-83</v>
      </c>
      <c r="L112" s="3">
        <f t="shared" si="139"/>
        <v>-37</v>
      </c>
      <c r="M112" s="3">
        <f t="shared" si="139"/>
        <v>-38</v>
      </c>
      <c r="N112" s="3">
        <f>SUM(N106:N111)</f>
        <v>-48</v>
      </c>
      <c r="O112" s="3">
        <f>SUM(O106:O111)</f>
        <v>-67</v>
      </c>
      <c r="P112" s="3">
        <f>SUM(P106:P111)</f>
        <v>-83</v>
      </c>
    </row>
    <row r="113" spans="2:16" x14ac:dyDescent="0.25">
      <c r="B113" s="5" t="s">
        <v>101</v>
      </c>
      <c r="J113" s="3">
        <v>-6</v>
      </c>
      <c r="K113" s="3">
        <v>-1</v>
      </c>
      <c r="L113" s="3">
        <v>1</v>
      </c>
      <c r="M113" s="3">
        <v>-1</v>
      </c>
      <c r="N113" s="3">
        <v>0</v>
      </c>
      <c r="O113" s="3">
        <v>0</v>
      </c>
      <c r="P113" s="3">
        <v>0</v>
      </c>
    </row>
    <row r="114" spans="2:16" x14ac:dyDescent="0.25">
      <c r="B114" s="5" t="s">
        <v>102</v>
      </c>
      <c r="C114" s="8"/>
      <c r="D114" s="8"/>
      <c r="E114" s="8"/>
      <c r="F114" s="8"/>
      <c r="G114" s="8"/>
      <c r="H114" s="8">
        <f t="shared" ref="H114:M114" si="140">H113+H112+H104+H98</f>
        <v>-206</v>
      </c>
      <c r="I114" s="8"/>
      <c r="J114" s="8">
        <f t="shared" si="140"/>
        <v>-362</v>
      </c>
      <c r="K114" s="8">
        <f t="shared" si="140"/>
        <v>22</v>
      </c>
      <c r="L114" s="8">
        <f t="shared" si="140"/>
        <v>113</v>
      </c>
      <c r="M114" s="8">
        <f t="shared" si="140"/>
        <v>-94</v>
      </c>
      <c r="N114" s="8">
        <f>N113+N112+N104+N98</f>
        <v>50</v>
      </c>
      <c r="O114" s="8">
        <f>O113+O112+O104+O98</f>
        <v>-60</v>
      </c>
      <c r="P114" s="8">
        <f>P113+P112+P104+P98</f>
        <v>126</v>
      </c>
    </row>
    <row r="116" spans="2:16" x14ac:dyDescent="0.25">
      <c r="B116" s="5" t="s">
        <v>103</v>
      </c>
      <c r="C116" s="8"/>
      <c r="D116" s="8"/>
      <c r="E116" s="8"/>
      <c r="F116" s="8"/>
      <c r="G116" s="8"/>
      <c r="H116" s="8">
        <f>H98+H100+H102</f>
        <v>-424</v>
      </c>
      <c r="I116" s="8"/>
      <c r="J116" s="8">
        <f>J98+J100</f>
        <v>-325</v>
      </c>
      <c r="K116" s="8">
        <f t="shared" ref="K116:P116" si="141">K98+K100</f>
        <v>45</v>
      </c>
      <c r="L116" s="8">
        <f t="shared" si="141"/>
        <v>184</v>
      </c>
      <c r="M116" s="8">
        <f t="shared" si="141"/>
        <v>122</v>
      </c>
      <c r="N116" s="8">
        <f t="shared" si="141"/>
        <v>91</v>
      </c>
      <c r="O116" s="8">
        <f t="shared" si="141"/>
        <v>56</v>
      </c>
      <c r="P116" s="8">
        <f t="shared" si="141"/>
        <v>7</v>
      </c>
    </row>
  </sheetData>
  <conditionalFormatting sqref="AP61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Z8:AB12 Z14:AB16 AC12 AC15" formulaRange="1"/>
    <ignoredError sqref="Z13:AB13" formula="1" formulaRange="1"/>
    <ignoredError sqref="AC13 F50:P5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E2B-480B-4072-AB24-7AC1843F8534}">
  <dimension ref="B1:H15"/>
  <sheetViews>
    <sheetView tabSelected="1" workbookViewId="0">
      <selection activeCell="B13" sqref="B13"/>
    </sheetView>
  </sheetViews>
  <sheetFormatPr defaultRowHeight="15" x14ac:dyDescent="0.25"/>
  <cols>
    <col min="2" max="2" width="15.28515625" bestFit="1" customWidth="1"/>
    <col min="3" max="3" width="11.5703125" bestFit="1" customWidth="1"/>
    <col min="4" max="4" width="11.5703125" customWidth="1"/>
    <col min="5" max="5" width="13.7109375" bestFit="1" customWidth="1"/>
    <col min="6" max="6" width="12" bestFit="1" customWidth="1"/>
  </cols>
  <sheetData>
    <row r="1" spans="2:8" x14ac:dyDescent="0.25">
      <c r="C1" t="s">
        <v>154</v>
      </c>
      <c r="F1" t="s">
        <v>155</v>
      </c>
    </row>
    <row r="2" spans="2:8" x14ac:dyDescent="0.25">
      <c r="B2" t="s">
        <v>4</v>
      </c>
      <c r="C2" s="3">
        <f>296405248/10000000</f>
        <v>29.640524800000001</v>
      </c>
      <c r="D2" s="3"/>
      <c r="F2" s="3">
        <f>C2</f>
        <v>29.640524800000001</v>
      </c>
      <c r="H2" t="s">
        <v>156</v>
      </c>
    </row>
    <row r="3" spans="2:8" x14ac:dyDescent="0.25">
      <c r="B3" t="s">
        <v>3</v>
      </c>
      <c r="C3" s="2">
        <v>390</v>
      </c>
      <c r="D3" s="2"/>
      <c r="F3" s="15">
        <f>F5/F2</f>
        <v>447.06747316176899</v>
      </c>
      <c r="H3" s="18">
        <f>F3/C3-1</f>
        <v>0.14632685426094616</v>
      </c>
    </row>
    <row r="5" spans="2:8" x14ac:dyDescent="0.25">
      <c r="B5" t="s">
        <v>7</v>
      </c>
      <c r="C5" s="4">
        <f>C3*C2</f>
        <v>11559.804672</v>
      </c>
      <c r="D5" s="4"/>
      <c r="E5" t="s">
        <v>7</v>
      </c>
      <c r="F5" s="3">
        <f>F8*F6</f>
        <v>13251.314525524749</v>
      </c>
    </row>
    <row r="6" spans="2:8" x14ac:dyDescent="0.25">
      <c r="B6" t="s">
        <v>148</v>
      </c>
      <c r="C6" s="12">
        <f>C5/(C5+109361)</f>
        <v>9.5598145442020444E-2</v>
      </c>
      <c r="D6" s="12"/>
      <c r="E6" t="s">
        <v>148</v>
      </c>
      <c r="F6" s="17">
        <f>C6</f>
        <v>9.5598145442020444E-2</v>
      </c>
    </row>
    <row r="8" spans="2:8" x14ac:dyDescent="0.25">
      <c r="B8" t="s">
        <v>149</v>
      </c>
      <c r="C8" s="3">
        <f>C5/C6</f>
        <v>120920.80467199998</v>
      </c>
      <c r="D8" s="3"/>
      <c r="E8" t="s">
        <v>150</v>
      </c>
      <c r="F8" s="3">
        <f>F9*F11</f>
        <v>138614.76563435607</v>
      </c>
    </row>
    <row r="9" spans="2:8" x14ac:dyDescent="0.25">
      <c r="B9" t="s">
        <v>151</v>
      </c>
      <c r="C9" s="3">
        <f>Main!I9</f>
        <v>210002.76</v>
      </c>
      <c r="D9" s="3"/>
      <c r="E9" t="s">
        <v>152</v>
      </c>
      <c r="F9" s="3">
        <f>Model!AP59</f>
        <v>277229.53126871213</v>
      </c>
    </row>
    <row r="11" spans="2:8" x14ac:dyDescent="0.25">
      <c r="B11" t="s">
        <v>157</v>
      </c>
      <c r="C11" s="12">
        <f>C8/C9</f>
        <v>0.57580578784774061</v>
      </c>
      <c r="E11" t="s">
        <v>157</v>
      </c>
      <c r="F11" s="12">
        <v>0.5</v>
      </c>
    </row>
    <row r="13" spans="2:8" x14ac:dyDescent="0.25">
      <c r="B13" s="1" t="s">
        <v>153</v>
      </c>
      <c r="C13" s="19">
        <f>F11-C11</f>
        <v>-7.5805787847740613E-2</v>
      </c>
      <c r="F13" s="17"/>
    </row>
    <row r="14" spans="2:8" x14ac:dyDescent="0.25">
      <c r="C14" s="10"/>
      <c r="D14" s="10"/>
    </row>
    <row r="15" spans="2:8" x14ac:dyDescent="0.25">
      <c r="C15" s="10"/>
      <c r="D15" s="10"/>
    </row>
  </sheetData>
  <conditionalFormatting sqref="H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Swiggy 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Rangwala</dc:creator>
  <cp:lastModifiedBy>Sameer Rangwala</cp:lastModifiedBy>
  <cp:lastPrinted>2024-11-05T05:11:23Z</cp:lastPrinted>
  <dcterms:created xsi:type="dcterms:W3CDTF">2024-06-04T10:48:54Z</dcterms:created>
  <dcterms:modified xsi:type="dcterms:W3CDTF">2024-11-05T05:16:13Z</dcterms:modified>
</cp:coreProperties>
</file>