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09fdbd93d202da/Desktop/Models/India Equity/"/>
    </mc:Choice>
  </mc:AlternateContent>
  <xr:revisionPtr revIDLastSave="1948" documentId="8_{38F2AB16-A9C9-49E7-A20A-4B09C2F4BEEA}" xr6:coauthVersionLast="47" xr6:coauthVersionMax="47" xr10:uidLastSave="{340858B8-3407-488A-8BE5-2C1167A7A69C}"/>
  <bookViews>
    <workbookView xWindow="-120" yWindow="-120" windowWidth="29040" windowHeight="16440" activeTab="1" xr2:uid="{9A104C27-410A-4274-ADF4-C9E210258DD4}"/>
  </bookViews>
  <sheets>
    <sheet name="Main" sheetId="1" r:id="rId1"/>
    <sheet name="Model" sheetId="2" r:id="rId2"/>
    <sheet name="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0" i="2" l="1"/>
  <c r="AO20" i="2"/>
  <c r="AP20" i="2"/>
  <c r="AQ20" i="2"/>
  <c r="AQ22" i="2" s="1"/>
  <c r="AQ32" i="2" s="1"/>
  <c r="AR20" i="2"/>
  <c r="AO21" i="2"/>
  <c r="AP21" i="2"/>
  <c r="AP22" i="2" s="1"/>
  <c r="AP32" i="2" s="1"/>
  <c r="AQ21" i="2"/>
  <c r="AN22" i="2"/>
  <c r="AN32" i="2" s="1"/>
  <c r="AO22" i="2"/>
  <c r="AO32" i="2" s="1"/>
  <c r="AJ32" i="2"/>
  <c r="AK32" i="2"/>
  <c r="AL32" i="2"/>
  <c r="AM32" i="2"/>
  <c r="AI32" i="2"/>
  <c r="AJ9" i="2"/>
  <c r="AJ30" i="2"/>
  <c r="AK30" i="2"/>
  <c r="AJ29" i="2"/>
  <c r="AK29" i="2"/>
  <c r="AK15" i="2"/>
  <c r="AK16" i="2" s="1"/>
  <c r="AL15" i="2"/>
  <c r="AL16" i="2" s="1"/>
  <c r="AJ15" i="2"/>
  <c r="AJ16" i="2" s="1"/>
  <c r="AM14" i="2"/>
  <c r="AM15" i="2" s="1"/>
  <c r="AM16" i="2" s="1"/>
  <c r="AJ7" i="2"/>
  <c r="AJ8" i="2" s="1"/>
  <c r="AK7" i="2"/>
  <c r="AK8" i="2" s="1"/>
  <c r="AL7" i="2"/>
  <c r="AL8" i="2" s="1"/>
  <c r="AM7" i="2"/>
  <c r="AM8" i="2" s="1"/>
  <c r="AI7" i="2"/>
  <c r="AI8" i="2" s="1"/>
  <c r="AI45" i="2"/>
  <c r="AI44" i="2"/>
  <c r="T41" i="2"/>
  <c r="U41" i="2"/>
  <c r="V41" i="2"/>
  <c r="S41" i="2"/>
  <c r="T39" i="2"/>
  <c r="U39" i="2"/>
  <c r="V39" i="2"/>
  <c r="S39" i="2"/>
  <c r="T38" i="2"/>
  <c r="U38" i="2"/>
  <c r="V38" i="2"/>
  <c r="S38" i="2"/>
  <c r="S37" i="2"/>
  <c r="T37" i="2" s="1"/>
  <c r="T26" i="2"/>
  <c r="U26" i="2"/>
  <c r="V26" i="2"/>
  <c r="S26" i="2"/>
  <c r="T25" i="2"/>
  <c r="U25" i="2"/>
  <c r="V25" i="2"/>
  <c r="S25" i="2"/>
  <c r="AB58" i="2"/>
  <c r="AC58" i="2"/>
  <c r="AD58" i="2"/>
  <c r="AE58" i="2"/>
  <c r="AF58" i="2"/>
  <c r="AG58" i="2"/>
  <c r="AA58" i="2"/>
  <c r="AB56" i="2"/>
  <c r="AC56" i="2"/>
  <c r="AD56" i="2"/>
  <c r="AE56" i="2"/>
  <c r="AF56" i="2"/>
  <c r="AG56" i="2"/>
  <c r="AA56" i="2"/>
  <c r="AB55" i="2"/>
  <c r="AC55" i="2"/>
  <c r="AD55" i="2"/>
  <c r="AE55" i="2"/>
  <c r="AF55" i="2"/>
  <c r="AG55" i="2"/>
  <c r="AA55" i="2"/>
  <c r="Z37" i="2"/>
  <c r="Z42" i="2" s="1"/>
  <c r="AA37" i="2"/>
  <c r="AA42" i="2" s="1"/>
  <c r="AA34" i="2"/>
  <c r="AA36" i="2" s="1"/>
  <c r="AA53" i="2" s="1"/>
  <c r="Z34" i="2"/>
  <c r="Z36" i="2" s="1"/>
  <c r="Z53" i="2" s="1"/>
  <c r="AB37" i="2"/>
  <c r="AB42" i="2" s="1"/>
  <c r="AB34" i="2"/>
  <c r="AB36" i="2" s="1"/>
  <c r="AB53" i="2" s="1"/>
  <c r="AC34" i="2"/>
  <c r="AC36" i="2" s="1"/>
  <c r="AC53" i="2" s="1"/>
  <c r="AC42" i="2"/>
  <c r="AD42" i="2"/>
  <c r="AD34" i="2"/>
  <c r="AD36" i="2" s="1"/>
  <c r="AD53" i="2" s="1"/>
  <c r="AG50" i="2"/>
  <c r="AG42" i="2"/>
  <c r="AG114" i="2"/>
  <c r="AG115" i="2"/>
  <c r="AG116" i="2"/>
  <c r="AG117" i="2"/>
  <c r="AG113" i="2"/>
  <c r="AG108" i="2"/>
  <c r="AG109" i="2"/>
  <c r="AG110" i="2"/>
  <c r="AG107" i="2"/>
  <c r="AG97" i="2"/>
  <c r="AG98" i="2"/>
  <c r="AG99" i="2"/>
  <c r="AG100" i="2"/>
  <c r="AG101" i="2"/>
  <c r="AG102" i="2"/>
  <c r="AG103" i="2"/>
  <c r="AG104" i="2"/>
  <c r="AG96" i="2"/>
  <c r="AH114" i="2"/>
  <c r="AH115" i="2"/>
  <c r="AH116" i="2"/>
  <c r="AH117" i="2"/>
  <c r="AH113" i="2"/>
  <c r="AH108" i="2"/>
  <c r="AH109" i="2"/>
  <c r="AH110" i="2"/>
  <c r="AH107" i="2"/>
  <c r="AH97" i="2"/>
  <c r="AH98" i="2"/>
  <c r="AH99" i="2"/>
  <c r="AH100" i="2"/>
  <c r="AH101" i="2"/>
  <c r="AH102" i="2"/>
  <c r="AH103" i="2"/>
  <c r="AH104" i="2"/>
  <c r="AH96" i="2"/>
  <c r="AH64" i="2"/>
  <c r="AH65" i="2"/>
  <c r="AH71" i="2"/>
  <c r="AH72" i="2"/>
  <c r="AH75" i="2"/>
  <c r="AH84" i="2"/>
  <c r="AH85" i="2"/>
  <c r="AH87" i="2"/>
  <c r="AH63" i="2"/>
  <c r="AH47" i="2"/>
  <c r="I50" i="2"/>
  <c r="AH45" i="2"/>
  <c r="AF45" i="2"/>
  <c r="AH38" i="2"/>
  <c r="AH55" i="2" s="1"/>
  <c r="AH39" i="2"/>
  <c r="AH56" i="2" s="1"/>
  <c r="AH40" i="2"/>
  <c r="AH41" i="2"/>
  <c r="AH58" i="2" s="1"/>
  <c r="AH37" i="2"/>
  <c r="AF42" i="2"/>
  <c r="AE42" i="2"/>
  <c r="AH35" i="2"/>
  <c r="AG34" i="2"/>
  <c r="AG36" i="2" s="1"/>
  <c r="AG53" i="2" s="1"/>
  <c r="AH33" i="2"/>
  <c r="AJ1" i="2"/>
  <c r="AK1" i="2" s="1"/>
  <c r="AL1" i="2" s="1"/>
  <c r="AM1" i="2" s="1"/>
  <c r="AN1" i="2" s="1"/>
  <c r="AO1" i="2" s="1"/>
  <c r="AP1" i="2" s="1"/>
  <c r="AQ1" i="2" s="1"/>
  <c r="AR1" i="2" s="1"/>
  <c r="AE26" i="2"/>
  <c r="AF26" i="2"/>
  <c r="AG26" i="2"/>
  <c r="AH26" i="2"/>
  <c r="AG27" i="2"/>
  <c r="AH27" i="2"/>
  <c r="AH25" i="2"/>
  <c r="AG25" i="2"/>
  <c r="AF25" i="2"/>
  <c r="AE25" i="2"/>
  <c r="AH1" i="2"/>
  <c r="AG1" i="2"/>
  <c r="AF1" i="2"/>
  <c r="AE1" i="2"/>
  <c r="H58" i="2"/>
  <c r="I58" i="2"/>
  <c r="J58" i="2"/>
  <c r="K58" i="2"/>
  <c r="L58" i="2"/>
  <c r="M58" i="2"/>
  <c r="N58" i="2"/>
  <c r="O58" i="2"/>
  <c r="P58" i="2"/>
  <c r="Q58" i="2"/>
  <c r="R58" i="2"/>
  <c r="G58" i="2"/>
  <c r="H55" i="2"/>
  <c r="I55" i="2"/>
  <c r="J55" i="2"/>
  <c r="K55" i="2"/>
  <c r="L55" i="2"/>
  <c r="M55" i="2"/>
  <c r="N55" i="2"/>
  <c r="O55" i="2"/>
  <c r="P55" i="2"/>
  <c r="Q55" i="2"/>
  <c r="R55" i="2"/>
  <c r="G55" i="2"/>
  <c r="H56" i="2"/>
  <c r="I56" i="2"/>
  <c r="J56" i="2"/>
  <c r="K56" i="2"/>
  <c r="L56" i="2"/>
  <c r="M56" i="2"/>
  <c r="N56" i="2"/>
  <c r="O56" i="2"/>
  <c r="P56" i="2"/>
  <c r="Q56" i="2"/>
  <c r="R56" i="2"/>
  <c r="G56" i="2"/>
  <c r="I30" i="2"/>
  <c r="J30" i="2"/>
  <c r="K30" i="2"/>
  <c r="L30" i="2"/>
  <c r="M30" i="2"/>
  <c r="N30" i="2"/>
  <c r="O30" i="2"/>
  <c r="P30" i="2"/>
  <c r="Q30" i="2"/>
  <c r="R30" i="2"/>
  <c r="H29" i="2"/>
  <c r="I29" i="2"/>
  <c r="J29" i="2"/>
  <c r="K29" i="2"/>
  <c r="L29" i="2"/>
  <c r="M29" i="2"/>
  <c r="N29" i="2"/>
  <c r="O29" i="2"/>
  <c r="P29" i="2"/>
  <c r="Q29" i="2"/>
  <c r="R29" i="2"/>
  <c r="G29" i="2"/>
  <c r="C32" i="2"/>
  <c r="E27" i="2"/>
  <c r="E32" i="2" s="1"/>
  <c r="F27" i="2"/>
  <c r="F32" i="2" s="1"/>
  <c r="D32" i="2"/>
  <c r="H27" i="2"/>
  <c r="H32" i="2" s="1"/>
  <c r="G32" i="2"/>
  <c r="J32" i="2"/>
  <c r="I32" i="2"/>
  <c r="L32" i="2"/>
  <c r="M32" i="2"/>
  <c r="O32" i="2"/>
  <c r="P32" i="2"/>
  <c r="N32" i="2"/>
  <c r="Q32" i="2"/>
  <c r="R32" i="2"/>
  <c r="T1" i="2"/>
  <c r="U1" i="2" s="1"/>
  <c r="V1" i="2" s="1"/>
  <c r="I22" i="3"/>
  <c r="I23" i="3"/>
  <c r="I24" i="3"/>
  <c r="I25" i="3"/>
  <c r="I21" i="3"/>
  <c r="I16" i="3"/>
  <c r="I17" i="3"/>
  <c r="I18" i="3"/>
  <c r="I15" i="3"/>
  <c r="I26" i="3"/>
  <c r="I29" i="3"/>
  <c r="I19" i="3"/>
  <c r="I27" i="3" s="1"/>
  <c r="I13" i="3"/>
  <c r="I4" i="3"/>
  <c r="I5" i="3"/>
  <c r="I6" i="3"/>
  <c r="I7" i="3"/>
  <c r="I8" i="3"/>
  <c r="I9" i="3"/>
  <c r="I10" i="3"/>
  <c r="I11" i="3"/>
  <c r="I12" i="3"/>
  <c r="I3" i="3"/>
  <c r="G26" i="3"/>
  <c r="G27" i="3" s="1"/>
  <c r="G29" i="3"/>
  <c r="G22" i="3"/>
  <c r="G23" i="3"/>
  <c r="G24" i="3"/>
  <c r="G25" i="3"/>
  <c r="G21" i="3"/>
  <c r="G19" i="3"/>
  <c r="G16" i="3"/>
  <c r="G17" i="3"/>
  <c r="G18" i="3"/>
  <c r="G15" i="3"/>
  <c r="G13" i="3"/>
  <c r="G4" i="3"/>
  <c r="G5" i="3"/>
  <c r="G6" i="3"/>
  <c r="G7" i="3"/>
  <c r="G8" i="3"/>
  <c r="G9" i="3"/>
  <c r="G10" i="3"/>
  <c r="G11" i="3"/>
  <c r="G12" i="3"/>
  <c r="G3" i="3"/>
  <c r="O22" i="3"/>
  <c r="O16" i="3"/>
  <c r="O15" i="3"/>
  <c r="O11" i="3"/>
  <c r="O10" i="3"/>
  <c r="O6" i="3"/>
  <c r="O26" i="3"/>
  <c r="O19" i="3"/>
  <c r="F10" i="3"/>
  <c r="F26" i="3"/>
  <c r="F22" i="3"/>
  <c r="F19" i="3"/>
  <c r="F16" i="3"/>
  <c r="F15" i="3"/>
  <c r="F13" i="3"/>
  <c r="F11" i="3"/>
  <c r="F6" i="3"/>
  <c r="H22" i="3"/>
  <c r="H21" i="3"/>
  <c r="H26" i="3" s="1"/>
  <c r="H16" i="3"/>
  <c r="H19" i="3" s="1"/>
  <c r="H6" i="3"/>
  <c r="H11" i="3"/>
  <c r="H13" i="3"/>
  <c r="H29" i="3" s="1"/>
  <c r="AR21" i="2" l="1"/>
  <c r="AR22" i="2" s="1"/>
  <c r="AR32" i="2" s="1"/>
  <c r="AK9" i="2"/>
  <c r="AN14" i="2"/>
  <c r="AO14" i="2" s="1"/>
  <c r="AP14" i="2" s="1"/>
  <c r="AQ14" i="2" s="1"/>
  <c r="AR14" i="2" s="1"/>
  <c r="AR15" i="2" s="1"/>
  <c r="AR16" i="2" s="1"/>
  <c r="AL9" i="2"/>
  <c r="AL10" i="2" s="1"/>
  <c r="AL11" i="2" s="1"/>
  <c r="AN9" i="2"/>
  <c r="AO9" i="2" s="1"/>
  <c r="AP9" i="2" s="1"/>
  <c r="AQ9" i="2" s="1"/>
  <c r="AR9" i="2" s="1"/>
  <c r="AM9" i="2"/>
  <c r="S32" i="2"/>
  <c r="S34" i="2" s="1"/>
  <c r="S36" i="2" s="1"/>
  <c r="U32" i="2"/>
  <c r="U34" i="2" s="1"/>
  <c r="T32" i="2"/>
  <c r="T34" i="2" s="1"/>
  <c r="T40" i="2" s="1"/>
  <c r="T42" i="2" s="1"/>
  <c r="V32" i="2"/>
  <c r="V34" i="2" s="1"/>
  <c r="V36" i="2" s="1"/>
  <c r="AI10" i="2"/>
  <c r="AI11" i="2" s="1"/>
  <c r="AJ10" i="2"/>
  <c r="AJ11" i="2" s="1"/>
  <c r="AK10" i="2"/>
  <c r="AK11" i="2" s="1"/>
  <c r="Z57" i="2"/>
  <c r="AL26" i="2"/>
  <c r="AM26" i="2" s="1"/>
  <c r="AN26" i="2" s="1"/>
  <c r="AO26" i="2" s="1"/>
  <c r="AP26" i="2" s="1"/>
  <c r="AQ26" i="2" s="1"/>
  <c r="AR26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I41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S40" i="2"/>
  <c r="U37" i="2"/>
  <c r="U40" i="2"/>
  <c r="U36" i="2"/>
  <c r="AD52" i="2"/>
  <c r="AC52" i="2"/>
  <c r="AD57" i="2"/>
  <c r="AA57" i="2"/>
  <c r="AA52" i="2"/>
  <c r="AC57" i="2"/>
  <c r="AG57" i="2"/>
  <c r="AB52" i="2"/>
  <c r="AB57" i="2"/>
  <c r="Z43" i="2"/>
  <c r="Z46" i="2" s="1"/>
  <c r="AA43" i="2"/>
  <c r="AA46" i="2" s="1"/>
  <c r="AG118" i="2"/>
  <c r="AB43" i="2"/>
  <c r="AB46" i="2" s="1"/>
  <c r="AC43" i="2"/>
  <c r="AC46" i="2" s="1"/>
  <c r="AG30" i="2"/>
  <c r="AD43" i="2"/>
  <c r="AD46" i="2" s="1"/>
  <c r="AG111" i="2"/>
  <c r="AH32" i="2"/>
  <c r="AH34" i="2" s="1"/>
  <c r="AF29" i="2"/>
  <c r="AH42" i="2"/>
  <c r="AH111" i="2"/>
  <c r="AH118" i="2"/>
  <c r="AG29" i="2"/>
  <c r="AE27" i="2"/>
  <c r="AE34" i="2" s="1"/>
  <c r="AH30" i="2"/>
  <c r="AF27" i="2"/>
  <c r="AF34" i="2" s="1"/>
  <c r="AG52" i="2" s="1"/>
  <c r="AF30" i="2"/>
  <c r="AG43" i="2"/>
  <c r="AH29" i="2"/>
  <c r="O13" i="3"/>
  <c r="O29" i="3" s="1"/>
  <c r="F27" i="3"/>
  <c r="F29" i="3"/>
  <c r="H27" i="3"/>
  <c r="AP15" i="2" l="1"/>
  <c r="AP16" i="2" s="1"/>
  <c r="AQ15" i="2"/>
  <c r="AQ16" i="2" s="1"/>
  <c r="AN15" i="2"/>
  <c r="AN16" i="2" s="1"/>
  <c r="AO15" i="2"/>
  <c r="AO16" i="2" s="1"/>
  <c r="T36" i="2"/>
  <c r="V40" i="2"/>
  <c r="AM10" i="2"/>
  <c r="AM11" i="2" s="1"/>
  <c r="AJ41" i="2"/>
  <c r="AK41" i="2" s="1"/>
  <c r="AL41" i="2" s="1"/>
  <c r="AM41" i="2" s="1"/>
  <c r="AN41" i="2" s="1"/>
  <c r="AO41" i="2" s="1"/>
  <c r="AP41" i="2" s="1"/>
  <c r="AQ41" i="2" s="1"/>
  <c r="AR41" i="2" s="1"/>
  <c r="AI30" i="2"/>
  <c r="T43" i="2"/>
  <c r="T46" i="2" s="1"/>
  <c r="T47" i="2" s="1"/>
  <c r="T48" i="2" s="1"/>
  <c r="V37" i="2"/>
  <c r="AI37" i="2" s="1"/>
  <c r="U42" i="2"/>
  <c r="U43" i="2" s="1"/>
  <c r="U46" i="2" s="1"/>
  <c r="U47" i="2" s="1"/>
  <c r="U48" i="2" s="1"/>
  <c r="AI34" i="2"/>
  <c r="AI52" i="2" s="1"/>
  <c r="AI29" i="2"/>
  <c r="S42" i="2"/>
  <c r="S43" i="2" s="1"/>
  <c r="S46" i="2" s="1"/>
  <c r="AI40" i="2"/>
  <c r="AI36" i="2"/>
  <c r="AC48" i="2"/>
  <c r="AC49" i="2" s="1"/>
  <c r="AC54" i="2"/>
  <c r="AE36" i="2"/>
  <c r="AE53" i="2" s="1"/>
  <c r="AE52" i="2"/>
  <c r="AE57" i="2"/>
  <c r="AF57" i="2"/>
  <c r="AF52" i="2"/>
  <c r="AA48" i="2"/>
  <c r="AA49" i="2" s="1"/>
  <c r="AA54" i="2"/>
  <c r="AB48" i="2"/>
  <c r="AB49" i="2" s="1"/>
  <c r="AB54" i="2"/>
  <c r="Z48" i="2"/>
  <c r="Z49" i="2" s="1"/>
  <c r="AH36" i="2"/>
  <c r="AH53" i="2" s="1"/>
  <c r="AH57" i="2"/>
  <c r="AH52" i="2"/>
  <c r="AD48" i="2"/>
  <c r="AD49" i="2" s="1"/>
  <c r="AG46" i="2"/>
  <c r="AF36" i="2"/>
  <c r="AF53" i="2" s="1"/>
  <c r="O27" i="3"/>
  <c r="V42" i="2" l="1"/>
  <c r="V43" i="2" s="1"/>
  <c r="V46" i="2" s="1"/>
  <c r="AN10" i="2"/>
  <c r="AN11" i="2" s="1"/>
  <c r="AI57" i="2"/>
  <c r="AE43" i="2"/>
  <c r="AE46" i="2" s="1"/>
  <c r="AE48" i="2" s="1"/>
  <c r="V47" i="2"/>
  <c r="V48" i="2"/>
  <c r="S47" i="2"/>
  <c r="AI47" i="2" s="1"/>
  <c r="AI42" i="2"/>
  <c r="AJ37" i="2"/>
  <c r="AK37" i="2" s="1"/>
  <c r="AG48" i="2"/>
  <c r="AG91" i="2" s="1"/>
  <c r="AG92" i="2" s="1"/>
  <c r="AG95" i="2" s="1"/>
  <c r="AG105" i="2" s="1"/>
  <c r="AG119" i="2" s="1"/>
  <c r="AG54" i="2"/>
  <c r="AH43" i="2"/>
  <c r="AH46" i="2" s="1"/>
  <c r="AF43" i="2"/>
  <c r="AF46" i="2" s="1"/>
  <c r="AF54" i="2" s="1"/>
  <c r="AO10" i="2" l="1"/>
  <c r="AO11" i="2" s="1"/>
  <c r="S48" i="2"/>
  <c r="AG121" i="2"/>
  <c r="AL37" i="2"/>
  <c r="AM37" i="2" s="1"/>
  <c r="AN37" i="2" s="1"/>
  <c r="AO37" i="2" s="1"/>
  <c r="AL25" i="2"/>
  <c r="AP37" i="2"/>
  <c r="AH48" i="2"/>
  <c r="AH91" i="2" s="1"/>
  <c r="AH92" i="2" s="1"/>
  <c r="AH95" i="2" s="1"/>
  <c r="AH105" i="2" s="1"/>
  <c r="AH54" i="2"/>
  <c r="AF48" i="2"/>
  <c r="AE91" i="2"/>
  <c r="AE92" i="2" s="1"/>
  <c r="AP10" i="2" l="1"/>
  <c r="AP11" i="2" s="1"/>
  <c r="AM25" i="2"/>
  <c r="AQ37" i="2"/>
  <c r="AH121" i="2"/>
  <c r="AH119" i="2"/>
  <c r="AF91" i="2"/>
  <c r="AF92" i="2" s="1"/>
  <c r="AR10" i="2" l="1"/>
  <c r="AR11" i="2" s="1"/>
  <c r="AQ10" i="2"/>
  <c r="AQ11" i="2" s="1"/>
  <c r="AN25" i="2"/>
  <c r="AR37" i="2"/>
  <c r="AO25" i="2" l="1"/>
  <c r="AP25" i="2" l="1"/>
  <c r="AQ25" i="2" l="1"/>
  <c r="AR25" i="2" l="1"/>
  <c r="P22" i="3" l="1"/>
  <c r="P26" i="3" s="1"/>
  <c r="P16" i="3"/>
  <c r="P19" i="3"/>
  <c r="P11" i="3"/>
  <c r="P10" i="3"/>
  <c r="P6" i="3"/>
  <c r="P9" i="3"/>
  <c r="P8" i="3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C95" i="2"/>
  <c r="R83" i="2"/>
  <c r="AH83" i="2" s="1"/>
  <c r="R82" i="2"/>
  <c r="AH82" i="2" s="1"/>
  <c r="R81" i="2"/>
  <c r="AH81" i="2" s="1"/>
  <c r="R80" i="2"/>
  <c r="AH80" i="2" s="1"/>
  <c r="R79" i="2"/>
  <c r="AH79" i="2" s="1"/>
  <c r="R78" i="2"/>
  <c r="AH78" i="2" s="1"/>
  <c r="R74" i="2"/>
  <c r="R73" i="2"/>
  <c r="AH73" i="2" s="1"/>
  <c r="R70" i="2"/>
  <c r="AH70" i="2" s="1"/>
  <c r="R69" i="2"/>
  <c r="AH69" i="2" s="1"/>
  <c r="R68" i="2"/>
  <c r="AH68" i="2" s="1"/>
  <c r="R67" i="2"/>
  <c r="AH67" i="2" s="1"/>
  <c r="R66" i="2"/>
  <c r="AH66" i="2" s="1"/>
  <c r="R61" i="2" l="1"/>
  <c r="AH74" i="2"/>
  <c r="AH61" i="2" s="1"/>
  <c r="G31" i="3"/>
  <c r="G32" i="3" s="1"/>
  <c r="G33" i="3" s="1"/>
  <c r="R86" i="2"/>
  <c r="F31" i="3"/>
  <c r="H31" i="3"/>
  <c r="H32" i="3" s="1"/>
  <c r="H33" i="3" s="1"/>
  <c r="R76" i="2"/>
  <c r="AH76" i="2" s="1"/>
  <c r="I32" i="3"/>
  <c r="I33" i="3" s="1"/>
  <c r="P13" i="3"/>
  <c r="P29" i="3" s="1"/>
  <c r="P27" i="3"/>
  <c r="R88" i="2" l="1"/>
  <c r="AH88" i="2" s="1"/>
  <c r="AH86" i="2"/>
  <c r="M117" i="2"/>
  <c r="M103" i="2"/>
  <c r="M113" i="2"/>
  <c r="M104" i="2"/>
  <c r="M114" i="2"/>
  <c r="M108" i="2"/>
  <c r="M96" i="2"/>
  <c r="M100" i="2"/>
  <c r="M109" i="2"/>
  <c r="M110" i="2"/>
  <c r="M107" i="2"/>
  <c r="M97" i="2"/>
  <c r="M101" i="2"/>
  <c r="M98" i="2"/>
  <c r="M99" i="2"/>
  <c r="M116" i="2"/>
  <c r="M102" i="2"/>
  <c r="M115" i="2"/>
  <c r="Q115" i="2"/>
  <c r="Q101" i="2"/>
  <c r="Q116" i="2"/>
  <c r="Q102" i="2"/>
  <c r="Q117" i="2"/>
  <c r="Q103" i="2"/>
  <c r="Q113" i="2"/>
  <c r="Q104" i="2"/>
  <c r="Q108" i="2"/>
  <c r="Q96" i="2"/>
  <c r="Q99" i="2"/>
  <c r="Q109" i="2"/>
  <c r="Q98" i="2"/>
  <c r="Q110" i="2"/>
  <c r="Q107" i="2"/>
  <c r="Q97" i="2"/>
  <c r="Q114" i="2"/>
  <c r="Q100" i="2"/>
  <c r="O107" i="2"/>
  <c r="O96" i="2"/>
  <c r="O97" i="2"/>
  <c r="O98" i="2"/>
  <c r="O99" i="2"/>
  <c r="O108" i="2"/>
  <c r="O114" i="2"/>
  <c r="O100" i="2"/>
  <c r="O115" i="2"/>
  <c r="O101" i="2"/>
  <c r="O116" i="2"/>
  <c r="O102" i="2"/>
  <c r="O117" i="2"/>
  <c r="O103" i="2"/>
  <c r="O113" i="2"/>
  <c r="O104" i="2"/>
  <c r="O109" i="2"/>
  <c r="O110" i="2"/>
  <c r="P107" i="2"/>
  <c r="P97" i="2"/>
  <c r="P98" i="2"/>
  <c r="P110" i="2"/>
  <c r="P99" i="2"/>
  <c r="P96" i="2"/>
  <c r="P114" i="2"/>
  <c r="P100" i="2"/>
  <c r="P115" i="2"/>
  <c r="P101" i="2"/>
  <c r="P116" i="2"/>
  <c r="P102" i="2"/>
  <c r="P117" i="2"/>
  <c r="P103" i="2"/>
  <c r="P108" i="2"/>
  <c r="P109" i="2"/>
  <c r="P113" i="2"/>
  <c r="P104" i="2"/>
  <c r="N114" i="2"/>
  <c r="N100" i="2"/>
  <c r="N115" i="2"/>
  <c r="N101" i="2"/>
  <c r="N116" i="2"/>
  <c r="N102" i="2"/>
  <c r="N117" i="2"/>
  <c r="N103" i="2"/>
  <c r="N113" i="2"/>
  <c r="N104" i="2"/>
  <c r="N99" i="2"/>
  <c r="F32" i="3"/>
  <c r="F33" i="3" s="1"/>
  <c r="N108" i="2"/>
  <c r="N96" i="2"/>
  <c r="N109" i="2"/>
  <c r="N110" i="2"/>
  <c r="N107" i="2"/>
  <c r="N98" i="2"/>
  <c r="N97" i="2"/>
  <c r="R116" i="2"/>
  <c r="R100" i="2"/>
  <c r="R97" i="2"/>
  <c r="R117" i="2"/>
  <c r="R101" i="2"/>
  <c r="R113" i="2"/>
  <c r="R102" i="2"/>
  <c r="R103" i="2"/>
  <c r="R114" i="2"/>
  <c r="R115" i="2"/>
  <c r="R108" i="2"/>
  <c r="R104" i="2"/>
  <c r="R109" i="2"/>
  <c r="R96" i="2"/>
  <c r="R110" i="2"/>
  <c r="R99" i="2"/>
  <c r="R107" i="2"/>
  <c r="R98" i="2"/>
  <c r="Q111" i="2" l="1"/>
  <c r="M111" i="2"/>
  <c r="M105" i="2"/>
  <c r="R111" i="2"/>
  <c r="K98" i="2"/>
  <c r="K99" i="2"/>
  <c r="K114" i="2"/>
  <c r="K100" i="2"/>
  <c r="K115" i="2"/>
  <c r="K101" i="2"/>
  <c r="K116" i="2"/>
  <c r="K102" i="2"/>
  <c r="K117" i="2"/>
  <c r="K103" i="2"/>
  <c r="K113" i="2"/>
  <c r="K104" i="2"/>
  <c r="K108" i="2"/>
  <c r="K96" i="2"/>
  <c r="K109" i="2"/>
  <c r="K110" i="2"/>
  <c r="K107" i="2"/>
  <c r="K97" i="2"/>
  <c r="Q105" i="2"/>
  <c r="O118" i="2"/>
  <c r="M118" i="2"/>
  <c r="O105" i="2"/>
  <c r="O111" i="2"/>
  <c r="Q118" i="2"/>
  <c r="N105" i="2"/>
  <c r="N121" i="2" s="1"/>
  <c r="R105" i="2"/>
  <c r="L96" i="2"/>
  <c r="L113" i="2"/>
  <c r="L116" i="2"/>
  <c r="L117" i="2"/>
  <c r="L110" i="2"/>
  <c r="L108" i="2"/>
  <c r="L109" i="2"/>
  <c r="L103" i="2"/>
  <c r="L107" i="2"/>
  <c r="L97" i="2"/>
  <c r="L98" i="2"/>
  <c r="L104" i="2"/>
  <c r="L99" i="2"/>
  <c r="L100" i="2"/>
  <c r="L101" i="2"/>
  <c r="L114" i="2"/>
  <c r="L102" i="2"/>
  <c r="L115" i="2"/>
  <c r="P105" i="2"/>
  <c r="N118" i="2"/>
  <c r="P118" i="2"/>
  <c r="N111" i="2"/>
  <c r="R118" i="2"/>
  <c r="P111" i="2"/>
  <c r="K111" i="2" l="1"/>
  <c r="Q121" i="2"/>
  <c r="Q119" i="2"/>
  <c r="O119" i="2"/>
  <c r="O121" i="2"/>
  <c r="N119" i="2"/>
  <c r="K105" i="2"/>
  <c r="K118" i="2"/>
  <c r="M121" i="2"/>
  <c r="M119" i="2"/>
  <c r="L111" i="2"/>
  <c r="P121" i="2"/>
  <c r="P119" i="2"/>
  <c r="L118" i="2"/>
  <c r="L105" i="2"/>
  <c r="R121" i="2"/>
  <c r="R119" i="2"/>
  <c r="K121" i="2" l="1"/>
  <c r="K119" i="2"/>
  <c r="L121" i="2"/>
  <c r="L119" i="2"/>
  <c r="C50" i="2" l="1"/>
  <c r="E50" i="2"/>
  <c r="F50" i="2"/>
  <c r="AE49" i="2" s="1"/>
  <c r="D50" i="2"/>
  <c r="D34" i="2"/>
  <c r="D42" i="2"/>
  <c r="G50" i="2"/>
  <c r="H50" i="2"/>
  <c r="E34" i="2"/>
  <c r="F34" i="2"/>
  <c r="G34" i="2"/>
  <c r="E42" i="2"/>
  <c r="F42" i="2"/>
  <c r="G42" i="2"/>
  <c r="J50" i="2"/>
  <c r="AF50" i="2" s="1"/>
  <c r="AF49" i="2" s="1"/>
  <c r="K50" i="2"/>
  <c r="H34" i="2"/>
  <c r="I34" i="2"/>
  <c r="H42" i="2"/>
  <c r="I42" i="2"/>
  <c r="M50" i="2"/>
  <c r="L50" i="2"/>
  <c r="J34" i="2"/>
  <c r="K34" i="2"/>
  <c r="L34" i="2"/>
  <c r="J42" i="2"/>
  <c r="K42" i="2"/>
  <c r="L42" i="2"/>
  <c r="O50" i="2"/>
  <c r="O42" i="2"/>
  <c r="P50" i="2"/>
  <c r="N50" i="2"/>
  <c r="AG49" i="2" s="1"/>
  <c r="M34" i="2"/>
  <c r="N34" i="2"/>
  <c r="O34" i="2"/>
  <c r="M42" i="2"/>
  <c r="N42" i="2"/>
  <c r="Q50" i="2"/>
  <c r="P34" i="2"/>
  <c r="T52" i="2" s="1"/>
  <c r="Q34" i="2"/>
  <c r="U52" i="2" s="1"/>
  <c r="P42" i="2"/>
  <c r="Q42" i="2"/>
  <c r="C42" i="2"/>
  <c r="C34" i="2"/>
  <c r="R50" i="2"/>
  <c r="R42" i="2"/>
  <c r="R34" i="2"/>
  <c r="V52" i="2" s="1"/>
  <c r="AH50" i="2" l="1"/>
  <c r="S50" i="2"/>
  <c r="O57" i="2"/>
  <c r="S52" i="2"/>
  <c r="N36" i="2"/>
  <c r="N53" i="2" s="1"/>
  <c r="N57" i="2"/>
  <c r="F36" i="2"/>
  <c r="F53" i="2" s="1"/>
  <c r="F57" i="2"/>
  <c r="Q36" i="2"/>
  <c r="Q53" i="2" s="1"/>
  <c r="Q57" i="2"/>
  <c r="D36" i="2"/>
  <c r="D53" i="2" s="1"/>
  <c r="D57" i="2"/>
  <c r="C36" i="2"/>
  <c r="C53" i="2" s="1"/>
  <c r="C57" i="2"/>
  <c r="P36" i="2"/>
  <c r="P53" i="2" s="1"/>
  <c r="P57" i="2"/>
  <c r="M36" i="2"/>
  <c r="M53" i="2" s="1"/>
  <c r="M57" i="2"/>
  <c r="H36" i="2"/>
  <c r="H53" i="2" s="1"/>
  <c r="H57" i="2"/>
  <c r="G36" i="2"/>
  <c r="G53" i="2" s="1"/>
  <c r="G57" i="2"/>
  <c r="L36" i="2"/>
  <c r="L53" i="2" s="1"/>
  <c r="L57" i="2"/>
  <c r="E36" i="2"/>
  <c r="E53" i="2" s="1"/>
  <c r="E57" i="2"/>
  <c r="I36" i="2"/>
  <c r="I53" i="2" s="1"/>
  <c r="I57" i="2"/>
  <c r="K36" i="2"/>
  <c r="K53" i="2" s="1"/>
  <c r="K57" i="2"/>
  <c r="R36" i="2"/>
  <c r="R53" i="2" s="1"/>
  <c r="R57" i="2"/>
  <c r="J36" i="2"/>
  <c r="J53" i="2" s="1"/>
  <c r="J57" i="2"/>
  <c r="R43" i="2"/>
  <c r="R46" i="2" s="1"/>
  <c r="R54" i="2" s="1"/>
  <c r="O36" i="2"/>
  <c r="O53" i="2" s="1"/>
  <c r="O52" i="2"/>
  <c r="P52" i="2"/>
  <c r="N52" i="2"/>
  <c r="M52" i="2"/>
  <c r="G52" i="2"/>
  <c r="L52" i="2"/>
  <c r="K52" i="2"/>
  <c r="Q52" i="2"/>
  <c r="J52" i="2"/>
  <c r="I52" i="2"/>
  <c r="H52" i="2"/>
  <c r="R52" i="2"/>
  <c r="E43" i="2"/>
  <c r="E46" i="2" s="1"/>
  <c r="N43" i="2" l="1"/>
  <c r="M43" i="2"/>
  <c r="K43" i="2"/>
  <c r="K46" i="2" s="1"/>
  <c r="K54" i="2" s="1"/>
  <c r="T50" i="2"/>
  <c r="S49" i="2"/>
  <c r="F43" i="2"/>
  <c r="F46" i="2" s="1"/>
  <c r="D43" i="2"/>
  <c r="D46" i="2" s="1"/>
  <c r="D54" i="2" s="1"/>
  <c r="AH49" i="2"/>
  <c r="AI50" i="2"/>
  <c r="AJ50" i="2" s="1"/>
  <c r="AK50" i="2" s="1"/>
  <c r="AL50" i="2" s="1"/>
  <c r="AM50" i="2" s="1"/>
  <c r="AN50" i="2" s="1"/>
  <c r="AO50" i="2" s="1"/>
  <c r="AP50" i="2" s="1"/>
  <c r="AQ50" i="2" s="1"/>
  <c r="AR50" i="2" s="1"/>
  <c r="Q43" i="2"/>
  <c r="Q46" i="2" s="1"/>
  <c r="Q54" i="2" s="1"/>
  <c r="O43" i="2"/>
  <c r="O46" i="2" s="1"/>
  <c r="O54" i="2" s="1"/>
  <c r="P43" i="2"/>
  <c r="P46" i="2" s="1"/>
  <c r="P54" i="2" s="1"/>
  <c r="J43" i="2"/>
  <c r="J46" i="2" s="1"/>
  <c r="J54" i="2" s="1"/>
  <c r="H43" i="2"/>
  <c r="H46" i="2" s="1"/>
  <c r="H48" i="2" s="1"/>
  <c r="I43" i="2"/>
  <c r="I46" i="2" s="1"/>
  <c r="L43" i="2"/>
  <c r="L46" i="2" s="1"/>
  <c r="L48" i="2" s="1"/>
  <c r="R48" i="2"/>
  <c r="C43" i="2"/>
  <c r="C46" i="2" s="1"/>
  <c r="C48" i="2" s="1"/>
  <c r="G43" i="2"/>
  <c r="G46" i="2" s="1"/>
  <c r="G54" i="2" s="1"/>
  <c r="R49" i="2"/>
  <c r="R91" i="2"/>
  <c r="F48" i="2"/>
  <c r="F54" i="2"/>
  <c r="E48" i="2"/>
  <c r="E54" i="2"/>
  <c r="N46" i="2"/>
  <c r="N54" i="2" s="1"/>
  <c r="M46" i="2"/>
  <c r="M54" i="2" s="1"/>
  <c r="D48" i="2" l="1"/>
  <c r="D91" i="2" s="1"/>
  <c r="K48" i="2"/>
  <c r="U50" i="2"/>
  <c r="T49" i="2"/>
  <c r="G48" i="2"/>
  <c r="G49" i="2" s="1"/>
  <c r="H54" i="2"/>
  <c r="I54" i="2"/>
  <c r="I48" i="2"/>
  <c r="I49" i="2" s="1"/>
  <c r="L49" i="2"/>
  <c r="L91" i="2"/>
  <c r="H49" i="2"/>
  <c r="H91" i="2"/>
  <c r="D49" i="2"/>
  <c r="E49" i="2"/>
  <c r="E91" i="2"/>
  <c r="C49" i="2"/>
  <c r="C91" i="2"/>
  <c r="F49" i="2"/>
  <c r="F91" i="2"/>
  <c r="K49" i="2"/>
  <c r="K91" i="2"/>
  <c r="M48" i="2"/>
  <c r="Q48" i="2"/>
  <c r="J48" i="2"/>
  <c r="P48" i="2"/>
  <c r="N48" i="2"/>
  <c r="O48" i="2"/>
  <c r="J8" i="1"/>
  <c r="I91" i="2" l="1"/>
  <c r="G91" i="2"/>
  <c r="V50" i="2"/>
  <c r="V49" i="2" s="1"/>
  <c r="U49" i="2"/>
  <c r="O49" i="2"/>
  <c r="O91" i="2"/>
  <c r="Q49" i="2"/>
  <c r="Q91" i="2"/>
  <c r="N49" i="2"/>
  <c r="N91" i="2"/>
  <c r="P49" i="2"/>
  <c r="P91" i="2"/>
  <c r="J49" i="2"/>
  <c r="J91" i="2"/>
  <c r="M49" i="2"/>
  <c r="M91" i="2"/>
  <c r="J5" i="1"/>
  <c r="J7" i="1"/>
  <c r="J6" i="1"/>
  <c r="J9" i="1" s="1"/>
  <c r="AI43" i="2" l="1"/>
  <c r="AI46" i="2" s="1"/>
  <c r="AI48" i="2" l="1"/>
  <c r="AI54" i="2"/>
  <c r="AI49" i="2" l="1"/>
  <c r="AI61" i="2"/>
  <c r="AJ33" i="2" l="1"/>
  <c r="AJ34" i="2" s="1"/>
  <c r="AJ52" i="2" l="1"/>
  <c r="AJ40" i="2"/>
  <c r="AJ42" i="2" s="1"/>
  <c r="AJ36" i="2"/>
  <c r="AJ43" i="2" l="1"/>
  <c r="AJ46" i="2" s="1"/>
  <c r="AJ47" i="2" s="1"/>
  <c r="AJ48" i="2" s="1"/>
  <c r="AJ49" i="2" s="1"/>
  <c r="AJ61" i="2" l="1"/>
  <c r="AK33" i="2" s="1"/>
  <c r="AK34" i="2" s="1"/>
  <c r="AK40" i="2" l="1"/>
  <c r="AK42" i="2" s="1"/>
  <c r="AK52" i="2"/>
  <c r="AK36" i="2"/>
  <c r="AK43" i="2" l="1"/>
  <c r="AK46" i="2" s="1"/>
  <c r="AK47" i="2" s="1"/>
  <c r="AK48" i="2" s="1"/>
  <c r="AK49" i="2" s="1"/>
  <c r="AK61" i="2" l="1"/>
  <c r="AL33" i="2"/>
  <c r="AL34" i="2" s="1"/>
  <c r="AL36" i="2" l="1"/>
  <c r="AL52" i="2"/>
  <c r="AL40" i="2"/>
  <c r="AL42" i="2" s="1"/>
  <c r="AL43" i="2" l="1"/>
  <c r="AL46" i="2" s="1"/>
  <c r="AL47" i="2" s="1"/>
  <c r="AL48" i="2" s="1"/>
  <c r="AL49" i="2" l="1"/>
  <c r="AL61" i="2"/>
  <c r="AM33" i="2" l="1"/>
  <c r="AM34" i="2" s="1"/>
  <c r="AM40" i="2" l="1"/>
  <c r="AM42" i="2" s="1"/>
  <c r="AM52" i="2"/>
  <c r="AM36" i="2"/>
  <c r="AM43" i="2" l="1"/>
  <c r="AM46" i="2" s="1"/>
  <c r="AM47" i="2" s="1"/>
  <c r="AM48" i="2" s="1"/>
  <c r="AM61" i="2" s="1"/>
  <c r="AM49" i="2" l="1"/>
  <c r="AN33" i="2"/>
  <c r="AN34" i="2" s="1"/>
  <c r="AN40" i="2" l="1"/>
  <c r="AN42" i="2" s="1"/>
  <c r="AN36" i="2"/>
  <c r="AN52" i="2"/>
  <c r="AN43" i="2" l="1"/>
  <c r="AN46" i="2" s="1"/>
  <c r="AN47" i="2" s="1"/>
  <c r="AN48" i="2" s="1"/>
  <c r="AN49" i="2" s="1"/>
  <c r="AN61" i="2" l="1"/>
  <c r="AO33" i="2" s="1"/>
  <c r="AO34" i="2" s="1"/>
  <c r="AO40" i="2" l="1"/>
  <c r="AO42" i="2" s="1"/>
  <c r="AO36" i="2"/>
  <c r="AO52" i="2"/>
  <c r="AO43" i="2" l="1"/>
  <c r="AO46" i="2" s="1"/>
  <c r="AO47" i="2" s="1"/>
  <c r="AO48" i="2" s="1"/>
  <c r="AO49" i="2" s="1"/>
  <c r="AO61" i="2" l="1"/>
  <c r="AP33" i="2" s="1"/>
  <c r="AP34" i="2" s="1"/>
  <c r="AP36" i="2" l="1"/>
  <c r="AP40" i="2"/>
  <c r="AP42" i="2" s="1"/>
  <c r="AP52" i="2"/>
  <c r="AP43" i="2" l="1"/>
  <c r="AP46" i="2" s="1"/>
  <c r="AP47" i="2" s="1"/>
  <c r="AP48" i="2" s="1"/>
  <c r="AP49" i="2" s="1"/>
  <c r="AP61" i="2" l="1"/>
  <c r="AQ33" i="2" s="1"/>
  <c r="AQ34" i="2" s="1"/>
  <c r="AQ36" i="2" l="1"/>
  <c r="AQ40" i="2"/>
  <c r="AQ42" i="2" s="1"/>
  <c r="AQ52" i="2"/>
  <c r="AQ43" i="2" l="1"/>
  <c r="AQ46" i="2" s="1"/>
  <c r="AQ47" i="2" s="1"/>
  <c r="AQ48" i="2" s="1"/>
  <c r="AQ49" i="2" s="1"/>
  <c r="AQ61" i="2" l="1"/>
  <c r="AR33" i="2" s="1"/>
  <c r="AR34" i="2" s="1"/>
  <c r="AR36" i="2" l="1"/>
  <c r="AR40" i="2"/>
  <c r="AR42" i="2" s="1"/>
  <c r="AR52" i="2"/>
  <c r="AR43" i="2" l="1"/>
  <c r="AR46" i="2" s="1"/>
  <c r="AR47" i="2" s="1"/>
  <c r="AR48" i="2" s="1"/>
  <c r="AR49" i="2" s="1"/>
  <c r="AS48" i="2" l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CI48" i="2" s="1"/>
  <c r="CJ48" i="2" s="1"/>
  <c r="CK48" i="2" s="1"/>
  <c r="CL48" i="2" s="1"/>
  <c r="CM48" i="2" s="1"/>
  <c r="CN48" i="2" s="1"/>
  <c r="CO48" i="2" s="1"/>
  <c r="CP48" i="2" s="1"/>
  <c r="CQ48" i="2" s="1"/>
  <c r="CR48" i="2" s="1"/>
  <c r="CS48" i="2" s="1"/>
  <c r="CT48" i="2" s="1"/>
  <c r="CU48" i="2" s="1"/>
  <c r="CV48" i="2" s="1"/>
  <c r="CW48" i="2" s="1"/>
  <c r="CX48" i="2" s="1"/>
  <c r="CY48" i="2" s="1"/>
  <c r="CZ48" i="2" s="1"/>
  <c r="DA48" i="2" s="1"/>
  <c r="DB48" i="2" s="1"/>
  <c r="DC48" i="2" s="1"/>
  <c r="DD48" i="2" s="1"/>
  <c r="DE48" i="2" s="1"/>
  <c r="DF48" i="2" s="1"/>
  <c r="DG48" i="2" s="1"/>
  <c r="DH48" i="2" s="1"/>
  <c r="DI48" i="2" s="1"/>
  <c r="DJ48" i="2" s="1"/>
  <c r="DK48" i="2" s="1"/>
  <c r="DL48" i="2" s="1"/>
  <c r="DM48" i="2" s="1"/>
  <c r="DN48" i="2" s="1"/>
  <c r="DO48" i="2" s="1"/>
  <c r="DP48" i="2" s="1"/>
  <c r="DQ48" i="2" s="1"/>
  <c r="DR48" i="2" s="1"/>
  <c r="DS48" i="2" s="1"/>
  <c r="DT48" i="2" s="1"/>
  <c r="DU48" i="2" s="1"/>
  <c r="DV48" i="2" s="1"/>
  <c r="DW48" i="2" s="1"/>
  <c r="DX48" i="2" s="1"/>
  <c r="DY48" i="2" s="1"/>
  <c r="DZ48" i="2" s="1"/>
  <c r="EA48" i="2" s="1"/>
  <c r="EB48" i="2" s="1"/>
  <c r="EC48" i="2" s="1"/>
  <c r="ED48" i="2" s="1"/>
  <c r="EE48" i="2" s="1"/>
  <c r="EF48" i="2" s="1"/>
  <c r="EG48" i="2" s="1"/>
  <c r="EH48" i="2" s="1"/>
  <c r="EI48" i="2" s="1"/>
  <c r="EJ48" i="2" s="1"/>
  <c r="EK48" i="2" s="1"/>
  <c r="EL48" i="2" s="1"/>
  <c r="EM48" i="2" s="1"/>
  <c r="EN48" i="2" s="1"/>
  <c r="EO48" i="2" s="1"/>
  <c r="EP48" i="2" s="1"/>
  <c r="EQ48" i="2" s="1"/>
  <c r="ER48" i="2" s="1"/>
  <c r="ES48" i="2" s="1"/>
  <c r="ET48" i="2" s="1"/>
  <c r="EU48" i="2" s="1"/>
  <c r="EV48" i="2" s="1"/>
  <c r="EW48" i="2" s="1"/>
  <c r="EX48" i="2" s="1"/>
  <c r="EY48" i="2" s="1"/>
  <c r="EZ48" i="2" s="1"/>
  <c r="FA48" i="2" s="1"/>
  <c r="FB48" i="2" s="1"/>
  <c r="FC48" i="2" s="1"/>
  <c r="FD48" i="2" s="1"/>
  <c r="FE48" i="2" s="1"/>
  <c r="FF48" i="2" s="1"/>
  <c r="FG48" i="2" s="1"/>
  <c r="FH48" i="2" s="1"/>
  <c r="FI48" i="2" s="1"/>
  <c r="FJ48" i="2" s="1"/>
  <c r="FK48" i="2" s="1"/>
  <c r="FL48" i="2" s="1"/>
  <c r="FM48" i="2" s="1"/>
  <c r="FN48" i="2" s="1"/>
  <c r="FO48" i="2" s="1"/>
  <c r="FP48" i="2" s="1"/>
  <c r="FQ48" i="2" s="1"/>
  <c r="FR48" i="2" s="1"/>
  <c r="FS48" i="2" s="1"/>
  <c r="FT48" i="2" s="1"/>
  <c r="FU48" i="2" s="1"/>
  <c r="FV48" i="2" s="1"/>
  <c r="FW48" i="2" s="1"/>
  <c r="FX48" i="2" s="1"/>
  <c r="FY48" i="2" s="1"/>
  <c r="FZ48" i="2" s="1"/>
  <c r="GA48" i="2" s="1"/>
  <c r="GB48" i="2" s="1"/>
  <c r="GC48" i="2" s="1"/>
  <c r="AV58" i="2" s="1"/>
  <c r="AV59" i="2" s="1"/>
  <c r="AV60" i="2" s="1"/>
  <c r="AR61" i="2"/>
</calcChain>
</file>

<file path=xl/sharedStrings.xml><?xml version="1.0" encoding="utf-8"?>
<sst xmlns="http://schemas.openxmlformats.org/spreadsheetml/2006/main" count="204" uniqueCount="168">
  <si>
    <t>TITAGARH</t>
  </si>
  <si>
    <t>Titagarh Rail Systems</t>
  </si>
  <si>
    <t>Management</t>
  </si>
  <si>
    <t>Notes</t>
  </si>
  <si>
    <t>Price</t>
  </si>
  <si>
    <t>Shares</t>
  </si>
  <si>
    <t>Market Cap</t>
  </si>
  <si>
    <t xml:space="preserve">Cash </t>
  </si>
  <si>
    <t>Debt</t>
  </si>
  <si>
    <t>EV</t>
  </si>
  <si>
    <t>HQ in Kolkata</t>
  </si>
  <si>
    <t>Manufactures railway rolling stock including wagons, passenger coaches, metro trains and specialized equipment</t>
  </si>
  <si>
    <t>Also has a presence in shipbuilding and defense equipment manufacturing</t>
  </si>
  <si>
    <t>Vande Bharat comprises more than half of its order book</t>
  </si>
  <si>
    <t>Metro contracts with Pune, Blr, Surat, Ahmdbd. Expects to produce 15-20 cars/month</t>
  </si>
  <si>
    <t>High dependency on govt contracts for rev. Sensitive to pol changes</t>
  </si>
  <si>
    <t>Competitors with Texmaco rail, BHEL, BEML</t>
  </si>
  <si>
    <t>Great returns from manufacturing sector in general, not unique to the company</t>
  </si>
  <si>
    <t>Operating Revenue</t>
  </si>
  <si>
    <t>Other</t>
  </si>
  <si>
    <t>Revenue</t>
  </si>
  <si>
    <t>COMC</t>
  </si>
  <si>
    <t>Gross Profit</t>
  </si>
  <si>
    <t>del Inv, WIP, Scrap</t>
  </si>
  <si>
    <t>EBE</t>
  </si>
  <si>
    <t>FC</t>
  </si>
  <si>
    <t>D&amp;A</t>
  </si>
  <si>
    <t>OtherEx</t>
  </si>
  <si>
    <t>OpEx</t>
  </si>
  <si>
    <t>OpInc</t>
  </si>
  <si>
    <t>Execptional</t>
  </si>
  <si>
    <t>Pretax Income</t>
  </si>
  <si>
    <t>Taxes</t>
  </si>
  <si>
    <t>Net Income</t>
  </si>
  <si>
    <t>EPS</t>
  </si>
  <si>
    <t>Q424</t>
  </si>
  <si>
    <t>Q324</t>
  </si>
  <si>
    <t>Q423</t>
  </si>
  <si>
    <t>Q224</t>
  </si>
  <si>
    <t>Q124</t>
  </si>
  <si>
    <t>Q223</t>
  </si>
  <si>
    <t>Revenue Growth</t>
  </si>
  <si>
    <t>Gross Margin</t>
  </si>
  <si>
    <t>Q323</t>
  </si>
  <si>
    <t>Q322</t>
  </si>
  <si>
    <t>Q422</t>
  </si>
  <si>
    <t>Q123</t>
  </si>
  <si>
    <t>Tax Rate</t>
  </si>
  <si>
    <t>Q222</t>
  </si>
  <si>
    <t>Q122</t>
  </si>
  <si>
    <t>Q421</t>
  </si>
  <si>
    <t>Q321</t>
  </si>
  <si>
    <t>Q221</t>
  </si>
  <si>
    <t>Q121</t>
  </si>
  <si>
    <t>PPE</t>
  </si>
  <si>
    <t>ROUA</t>
  </si>
  <si>
    <t>CWIP</t>
  </si>
  <si>
    <t>BS</t>
  </si>
  <si>
    <t>Net Cash</t>
  </si>
  <si>
    <t>Intangible</t>
  </si>
  <si>
    <t>Investments</t>
  </si>
  <si>
    <t>OFA</t>
  </si>
  <si>
    <t>Contract</t>
  </si>
  <si>
    <t>Tax Assets</t>
  </si>
  <si>
    <t>ONCA</t>
  </si>
  <si>
    <t>Inventories</t>
  </si>
  <si>
    <t>TR</t>
  </si>
  <si>
    <t>Cash</t>
  </si>
  <si>
    <t>OCA</t>
  </si>
  <si>
    <t>Assets</t>
  </si>
  <si>
    <t>Lease</t>
  </si>
  <si>
    <t>Borrowings</t>
  </si>
  <si>
    <t>ContractL</t>
  </si>
  <si>
    <t>Provisions</t>
  </si>
  <si>
    <t>TP</t>
  </si>
  <si>
    <t>OFL</t>
  </si>
  <si>
    <t>Tax Liabilities</t>
  </si>
  <si>
    <t>OCL</t>
  </si>
  <si>
    <t>Liabilities</t>
  </si>
  <si>
    <t>SE</t>
  </si>
  <si>
    <t>SE+L</t>
  </si>
  <si>
    <t>Model NI</t>
  </si>
  <si>
    <t>Reported NI</t>
  </si>
  <si>
    <t>CF</t>
  </si>
  <si>
    <t>YE</t>
  </si>
  <si>
    <t>Finance</t>
  </si>
  <si>
    <t>Provisions/writeoffs</t>
  </si>
  <si>
    <t>Interest</t>
  </si>
  <si>
    <t>Gain on securities</t>
  </si>
  <si>
    <t>WC</t>
  </si>
  <si>
    <t>Tax</t>
  </si>
  <si>
    <t>CFFO</t>
  </si>
  <si>
    <t>Capex</t>
  </si>
  <si>
    <t>Acquisitions</t>
  </si>
  <si>
    <t>CFFI</t>
  </si>
  <si>
    <t>Stock Issue</t>
  </si>
  <si>
    <t>Debt Retirement</t>
  </si>
  <si>
    <t>LL</t>
  </si>
  <si>
    <t>Dividend</t>
  </si>
  <si>
    <t>CFFF</t>
  </si>
  <si>
    <t>FX</t>
  </si>
  <si>
    <t>CIC</t>
  </si>
  <si>
    <t>FCF</t>
  </si>
  <si>
    <t>HYE</t>
  </si>
  <si>
    <t>Sum</t>
  </si>
  <si>
    <t>2nQWeight</t>
  </si>
  <si>
    <t>1sQweight</t>
  </si>
  <si>
    <t>Q125</t>
  </si>
  <si>
    <t>Q225</t>
  </si>
  <si>
    <t>Q325</t>
  </si>
  <si>
    <t>Q425</t>
  </si>
  <si>
    <t xml:space="preserve">Freight Rail </t>
  </si>
  <si>
    <t>Passenger Rail</t>
  </si>
  <si>
    <t>FR Growth</t>
  </si>
  <si>
    <t>Passenger Growth</t>
  </si>
  <si>
    <t>Defence, Ship, Bridges</t>
  </si>
  <si>
    <t>FC Growth</t>
  </si>
  <si>
    <t>EBE growth</t>
  </si>
  <si>
    <t>D&amp;A/Sales</t>
  </si>
  <si>
    <t>OtherEx Growth</t>
  </si>
  <si>
    <t>FY24</t>
  </si>
  <si>
    <t>FY23</t>
  </si>
  <si>
    <t>FY22</t>
  </si>
  <si>
    <t>FY21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</si>
  <si>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</si>
  <si>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</si>
  <si>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</si>
  <si>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</si>
  <si>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</si>
  <si>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</si>
  <si>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</si>
  <si>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</si>
  <si>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</si>
  <si>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</si>
  <si>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JV</t>
  </si>
  <si>
    <t>FY20</t>
  </si>
  <si>
    <t>FY17</t>
  </si>
  <si>
    <t>FY19</t>
  </si>
  <si>
    <t>FY18</t>
  </si>
  <si>
    <t>FY16</t>
  </si>
  <si>
    <t>Terminal</t>
  </si>
  <si>
    <t>ROIC</t>
  </si>
  <si>
    <t>Discount</t>
  </si>
  <si>
    <t>NPV</t>
  </si>
  <si>
    <t>Difference</t>
  </si>
  <si>
    <t>350 Cr contract with Ahemdabad metro - 30 metro cars - Ahemdabad metro phase II</t>
  </si>
  <si>
    <t>857 Cr contract with Surat metro - 72 metro cars - Surat metro phase I</t>
  </si>
  <si>
    <t>24,000 Cr contract with BHEL for Vande Bharat - 80 sleeper trains - by 2029 with 35 years of maintainance</t>
  </si>
  <si>
    <t>12,227 Cr contract with RKFL for mf and supply of 15L forged wheels - 20 years - 40000 then 60000 then 80000 deleveries per year</t>
  </si>
  <si>
    <t>Producing 34 trainsets for BLR Yellow line (204 coaches)</t>
  </si>
  <si>
    <t>VB Train deliveries</t>
  </si>
  <si>
    <t>VB current contract</t>
  </si>
  <si>
    <t>Delivery Rev</t>
  </si>
  <si>
    <t>TSRL Share of delivery rev</t>
  </si>
  <si>
    <t>Total Maintainence rev</t>
  </si>
  <si>
    <t>TSRL Share of maintainence</t>
  </si>
  <si>
    <t>Total contract revenue</t>
  </si>
  <si>
    <t>FW current contract</t>
  </si>
  <si>
    <t>Wheel deliveries</t>
  </si>
  <si>
    <t>Delivery Revenue</t>
  </si>
  <si>
    <t>TSRL Share</t>
  </si>
  <si>
    <t>Total Wheels</t>
  </si>
  <si>
    <t>Total Rev</t>
  </si>
  <si>
    <t>VB Potential larger contract</t>
  </si>
  <si>
    <t>Deliveries</t>
  </si>
  <si>
    <t>Rev</t>
  </si>
  <si>
    <t>Maintainence</t>
  </si>
  <si>
    <t>TSRL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</si>
</sst>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#,##0_ ;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4" fontId="0" fillId="0" borderId="0" xfId="0" applyNumberFormat="1"/>
    <xf numFmtId="3" fontId="1" fillId="0" borderId="0" xfId="0" applyNumberFormat="1" applyFont="1"/>
    <xf numFmtId="3" fontId="3" fillId="0" borderId="0" xfId="0" applyNumberFormat="1" applyFont="1"/>
    <xf numFmtId="4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164" fontId="1" fillId="0" borderId="0" xfId="0" applyNumberFormat="1" applyFont="1"/>
    <xf numFmtId="3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1731</xdr:colOff>
      <xdr:row>0</xdr:row>
      <xdr:rowOff>0</xdr:rowOff>
    </xdr:from>
    <xdr:to>
      <xdr:col>18</xdr:col>
      <xdr:colOff>4329</xdr:colOff>
      <xdr:row>121</xdr:row>
      <xdr:rowOff>99579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8ABB539-2FD8-CD4D-F851-7658CD60DB4D}"/>
            </a:ext>
          </a:extLst>
        </xdr:cNvPr>
        <xdr:cNvCxnSpPr/>
      </xdr:nvCxnSpPr>
      <xdr:spPr>
        <a:xfrm>
          <a:off x="13423322" y="0"/>
          <a:ext cx="2598" cy="17010784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723034</xdr:colOff>
      <xdr:row>0</xdr:row>
      <xdr:rowOff>8659</xdr:rowOff>
    </xdr:from>
    <xdr:to>
      <xdr:col>33</xdr:col>
      <xdr:colOff>723034</xdr:colOff>
      <xdr:row>131</xdr:row>
      <xdr:rowOff>17318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306AEC9-99CB-7F86-93C9-9CAD7F8BE026}"/>
            </a:ext>
          </a:extLst>
        </xdr:cNvPr>
        <xdr:cNvCxnSpPr/>
      </xdr:nvCxnSpPr>
      <xdr:spPr>
        <a:xfrm>
          <a:off x="21781943" y="8659"/>
          <a:ext cx="0" cy="200111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0B9-768D-47DC-9C37-43B3166DF8BE}">
  <dimension ref="B4:J31"/>
  <sheetViews>
    <sheetView topLeftCell="A3" workbookViewId="0">
      <selection activeCell="J12" sqref="J12"/>
    </sheetView>
  </sheetViews>
  <sheetFormatPr defaultRowHeight="15" x14ac:dyDescent="0.25"/>
  <cols>
    <col min="9" max="9" width="9.85546875" bestFit="1" customWidth="1"/>
    <col min="10" max="10" width="11" bestFit="1" customWidth="1"/>
  </cols>
  <sheetData>
    <row r="4" spans="2:10" x14ac:dyDescent="0.25">
      <c r="B4" t="s">
        <v>0</v>
      </c>
      <c r="I4" t="s">
        <v>4</v>
      </c>
      <c r="J4" s="2">
        <v>1463</v>
      </c>
    </row>
    <row r="5" spans="2:10" x14ac:dyDescent="0.25">
      <c r="B5" t="s">
        <v>1</v>
      </c>
      <c r="I5" t="s">
        <v>5</v>
      </c>
      <c r="J5" s="3">
        <f>2693.48/(2*100)</f>
        <v>13.4674</v>
      </c>
    </row>
    <row r="6" spans="2:10" x14ac:dyDescent="0.25">
      <c r="I6" t="s">
        <v>6</v>
      </c>
      <c r="J6" s="4">
        <f>J4*J5</f>
        <v>19702.806199999999</v>
      </c>
    </row>
    <row r="7" spans="2:10" x14ac:dyDescent="0.25">
      <c r="I7" t="s">
        <v>7</v>
      </c>
      <c r="J7" s="3">
        <f>(32688.43+28011.28)/100</f>
        <v>606.99710000000005</v>
      </c>
    </row>
    <row r="8" spans="2:10" x14ac:dyDescent="0.25">
      <c r="I8" t="s">
        <v>8</v>
      </c>
      <c r="J8" s="3">
        <f>(3735.75+9370.28+2889.85+575.64)/100</f>
        <v>165.71520000000001</v>
      </c>
    </row>
    <row r="9" spans="2:10" x14ac:dyDescent="0.25">
      <c r="I9" t="s">
        <v>9</v>
      </c>
      <c r="J9" s="3">
        <f>J6+J8-J7</f>
        <v>19261.524299999997</v>
      </c>
    </row>
    <row r="10" spans="2:10" x14ac:dyDescent="0.25">
      <c r="J10" s="3"/>
    </row>
    <row r="13" spans="2:10" x14ac:dyDescent="0.25">
      <c r="B13" s="1" t="s">
        <v>2</v>
      </c>
      <c r="I13" s="1" t="s">
        <v>3</v>
      </c>
    </row>
    <row r="14" spans="2:10" x14ac:dyDescent="0.25">
      <c r="I14" t="s">
        <v>10</v>
      </c>
    </row>
    <row r="15" spans="2:10" x14ac:dyDescent="0.25">
      <c r="I15" t="s">
        <v>11</v>
      </c>
    </row>
    <row r="16" spans="2:10" x14ac:dyDescent="0.25">
      <c r="I16" t="s">
        <v>12</v>
      </c>
    </row>
    <row r="18" spans="9:9" x14ac:dyDescent="0.25">
      <c r="I18" t="s">
        <v>13</v>
      </c>
    </row>
    <row r="19" spans="9:9" x14ac:dyDescent="0.25">
      <c r="I19" t="s">
        <v>14</v>
      </c>
    </row>
    <row r="21" spans="9:9" x14ac:dyDescent="0.25">
      <c r="I21" t="s">
        <v>15</v>
      </c>
    </row>
    <row r="23" spans="9:9" x14ac:dyDescent="0.25">
      <c r="I23" t="s">
        <v>16</v>
      </c>
    </row>
    <row r="25" spans="9:9" x14ac:dyDescent="0.25">
      <c r="I25" t="s">
        <v>17</v>
      </c>
    </row>
    <row r="27" spans="9:9" x14ac:dyDescent="0.25">
      <c r="I27" t="s">
        <v>146</v>
      </c>
    </row>
    <row r="28" spans="9:9" x14ac:dyDescent="0.25">
      <c r="I28" t="s">
        <v>145</v>
      </c>
    </row>
    <row r="29" spans="9:9" x14ac:dyDescent="0.25">
      <c r="I29" t="s">
        <v>147</v>
      </c>
    </row>
    <row r="30" spans="9:9" x14ac:dyDescent="0.25">
      <c r="I30" t="s">
        <v>148</v>
      </c>
    </row>
    <row r="31" spans="9:9" x14ac:dyDescent="0.25">
      <c r="I31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DF98-5E83-4160-A0A1-32B8DF3EB701}">
  <dimension ref="A1:GC121"/>
  <sheetViews>
    <sheetView tabSelected="1" zoomScale="110" zoomScaleNormal="110" workbookViewId="0">
      <pane xSplit="2" ySplit="2" topLeftCell="Z25" activePane="bottomRight" state="frozen"/>
      <selection pane="topRight" activeCell="C1" sqref="C1"/>
      <selection pane="bottomLeft" activeCell="A3" sqref="A3"/>
      <selection pane="bottomRight" activeCell="AP57" sqref="AP57"/>
    </sheetView>
  </sheetViews>
  <sheetFormatPr defaultColWidth="9" defaultRowHeight="15" x14ac:dyDescent="0.25"/>
  <cols>
    <col min="1" max="1" width="9.140625" customWidth="1"/>
    <col min="2" max="2" width="21.140625" style="5" bestFit="1" customWidth="1"/>
    <col min="3" max="18" width="10.85546875" style="3" bestFit="1" customWidth="1"/>
    <col min="19" max="19" width="10.140625" style="3" bestFit="1" customWidth="1"/>
    <col min="20" max="25" width="9" style="3"/>
    <col min="26" max="34" width="10.85546875" style="3" bestFit="1" customWidth="1"/>
    <col min="35" max="47" width="9" style="3"/>
    <col min="48" max="48" width="10.85546875" style="3" bestFit="1" customWidth="1"/>
    <col min="49" max="16384" width="9" style="3"/>
  </cols>
  <sheetData>
    <row r="1" spans="2:46" customFormat="1" x14ac:dyDescent="0.25">
      <c r="C1" s="8">
        <v>44012</v>
      </c>
      <c r="D1" s="8">
        <v>44104</v>
      </c>
      <c r="E1" s="8">
        <v>44196</v>
      </c>
      <c r="F1" s="8">
        <v>44286</v>
      </c>
      <c r="G1" s="8">
        <v>44377</v>
      </c>
      <c r="H1" s="8">
        <v>44469</v>
      </c>
      <c r="I1" s="8">
        <v>44561</v>
      </c>
      <c r="J1" s="8">
        <v>44651</v>
      </c>
      <c r="K1" s="8">
        <v>44742</v>
      </c>
      <c r="L1" s="8">
        <v>44834</v>
      </c>
      <c r="M1" s="8">
        <v>44926</v>
      </c>
      <c r="N1" s="8">
        <v>45016</v>
      </c>
      <c r="O1" s="8">
        <v>45107</v>
      </c>
      <c r="P1" s="8">
        <v>45199</v>
      </c>
      <c r="Q1" s="8">
        <v>45291</v>
      </c>
      <c r="R1" s="8">
        <v>45382</v>
      </c>
      <c r="S1">
        <v>1</v>
      </c>
      <c r="T1">
        <f>S1+1</f>
        <v>2</v>
      </c>
      <c r="U1">
        <f t="shared" ref="U1:V1" si="0">T1+1</f>
        <v>3</v>
      </c>
      <c r="V1">
        <f t="shared" si="0"/>
        <v>4</v>
      </c>
      <c r="Z1" s="8">
        <v>42460</v>
      </c>
      <c r="AA1" s="8">
        <v>42825</v>
      </c>
      <c r="AB1" s="8">
        <v>43190</v>
      </c>
      <c r="AC1" s="8">
        <v>43555</v>
      </c>
      <c r="AD1" s="8">
        <v>43921</v>
      </c>
      <c r="AE1" s="8">
        <f>F1</f>
        <v>44286</v>
      </c>
      <c r="AF1" s="8">
        <f>J1</f>
        <v>44651</v>
      </c>
      <c r="AG1" s="8">
        <f>N1</f>
        <v>45016</v>
      </c>
      <c r="AH1" s="8">
        <f>R1</f>
        <v>45382</v>
      </c>
      <c r="AI1">
        <v>1</v>
      </c>
      <c r="AJ1">
        <f>AI1+1</f>
        <v>2</v>
      </c>
      <c r="AK1">
        <f t="shared" ref="AK1:AR1" si="1">AJ1+1</f>
        <v>3</v>
      </c>
      <c r="AL1">
        <f t="shared" si="1"/>
        <v>4</v>
      </c>
      <c r="AM1">
        <f t="shared" si="1"/>
        <v>5</v>
      </c>
      <c r="AN1">
        <f t="shared" si="1"/>
        <v>6</v>
      </c>
      <c r="AO1">
        <f t="shared" si="1"/>
        <v>7</v>
      </c>
      <c r="AP1">
        <f t="shared" si="1"/>
        <v>8</v>
      </c>
      <c r="AQ1">
        <f t="shared" si="1"/>
        <v>9</v>
      </c>
      <c r="AR1">
        <f t="shared" si="1"/>
        <v>10</v>
      </c>
    </row>
    <row r="2" spans="2:46" customFormat="1" x14ac:dyDescent="0.25">
      <c r="C2" s="5" t="s">
        <v>53</v>
      </c>
      <c r="D2" s="5" t="s">
        <v>52</v>
      </c>
      <c r="E2" s="5" t="s">
        <v>51</v>
      </c>
      <c r="F2" s="5" t="s">
        <v>50</v>
      </c>
      <c r="G2" s="5" t="s">
        <v>49</v>
      </c>
      <c r="H2" s="5" t="s">
        <v>48</v>
      </c>
      <c r="I2" s="5" t="s">
        <v>44</v>
      </c>
      <c r="J2" s="5" t="s">
        <v>45</v>
      </c>
      <c r="K2" s="5" t="s">
        <v>46</v>
      </c>
      <c r="L2" s="5" t="s">
        <v>40</v>
      </c>
      <c r="M2" s="5" t="s">
        <v>43</v>
      </c>
      <c r="N2" s="5" t="s">
        <v>37</v>
      </c>
      <c r="O2" s="5" t="s">
        <v>39</v>
      </c>
      <c r="P2" s="5" t="s">
        <v>38</v>
      </c>
      <c r="Q2" s="5" t="s">
        <v>36</v>
      </c>
      <c r="R2" s="5" t="s">
        <v>35</v>
      </c>
      <c r="S2" s="5" t="s">
        <v>107</v>
      </c>
      <c r="T2" s="5" t="s">
        <v>108</v>
      </c>
      <c r="U2" s="5" t="s">
        <v>109</v>
      </c>
      <c r="V2" s="5" t="s">
        <v>110</v>
      </c>
      <c r="Z2" s="5" t="s">
        <v>139</v>
      </c>
      <c r="AA2" s="5" t="s">
        <v>136</v>
      </c>
      <c r="AB2" s="5" t="s">
        <v>138</v>
      </c>
      <c r="AC2" s="5" t="s">
        <v>137</v>
      </c>
      <c r="AD2" s="5" t="s">
        <v>135</v>
      </c>
      <c r="AE2" s="5" t="s">
        <v>123</v>
      </c>
      <c r="AF2" s="5" t="s">
        <v>122</v>
      </c>
      <c r="AG2" s="5" t="s">
        <v>121</v>
      </c>
      <c r="AH2" s="5" t="s">
        <v>120</v>
      </c>
      <c r="AI2" s="5" t="s">
        <v>124</v>
      </c>
      <c r="AJ2" s="5" t="s">
        <v>125</v>
      </c>
      <c r="AK2" s="5" t="s">
        <v>126</v>
      </c>
      <c r="AL2" s="5" t="s">
        <v>127</v>
      </c>
      <c r="AM2" s="5" t="s">
        <v>128</v>
      </c>
      <c r="AN2" s="5" t="s">
        <v>129</v>
      </c>
      <c r="AO2" s="5" t="s">
        <v>130</v>
      </c>
      <c r="AP2" s="5" t="s">
        <v>131</v>
      </c>
      <c r="AQ2" s="5" t="s">
        <v>132</v>
      </c>
      <c r="AR2" s="5" t="s">
        <v>133</v>
      </c>
    </row>
    <row r="3" spans="2:46" customFormat="1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2:46" customFormat="1" x14ac:dyDescent="0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2:46" customFormat="1" x14ac:dyDescent="0.25">
      <c r="B5" s="6" t="s">
        <v>151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2:46" customFormat="1" x14ac:dyDescent="0.25">
      <c r="B6" s="5" t="s">
        <v>150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Z6" s="5"/>
      <c r="AA6" s="5"/>
      <c r="AB6" s="5"/>
      <c r="AC6" s="5"/>
      <c r="AD6" s="5"/>
      <c r="AE6" s="5"/>
      <c r="AF6" s="5"/>
      <c r="AG6" s="5"/>
      <c r="AH6" s="5"/>
      <c r="AI6" s="5">
        <v>2</v>
      </c>
      <c r="AJ6" s="5">
        <v>12</v>
      </c>
      <c r="AK6" s="5">
        <v>18</v>
      </c>
      <c r="AL6" s="5">
        <v>25</v>
      </c>
      <c r="AM6" s="5">
        <v>23</v>
      </c>
      <c r="AN6" s="5"/>
      <c r="AO6" s="5"/>
      <c r="AP6" s="5"/>
      <c r="AQ6" s="5"/>
      <c r="AR6" s="5"/>
    </row>
    <row r="7" spans="2:46" customFormat="1" x14ac:dyDescent="0.25">
      <c r="B7" s="5" t="s">
        <v>152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Z7" s="5"/>
      <c r="AA7" s="5"/>
      <c r="AB7" s="5"/>
      <c r="AC7" s="5"/>
      <c r="AD7" s="5"/>
      <c r="AE7" s="5"/>
      <c r="AF7" s="5"/>
      <c r="AG7" s="5"/>
      <c r="AH7" s="5"/>
      <c r="AI7" s="15">
        <f>AI6*120</f>
        <v>240</v>
      </c>
      <c r="AJ7" s="15">
        <f t="shared" ref="AJ7:AM7" si="2">AJ6*120</f>
        <v>1440</v>
      </c>
      <c r="AK7" s="15">
        <f t="shared" si="2"/>
        <v>2160</v>
      </c>
      <c r="AL7" s="15">
        <f t="shared" si="2"/>
        <v>3000</v>
      </c>
      <c r="AM7" s="15">
        <f t="shared" si="2"/>
        <v>2760</v>
      </c>
      <c r="AN7" s="5"/>
      <c r="AO7" s="5"/>
      <c r="AP7" s="5"/>
      <c r="AQ7" s="5"/>
      <c r="AR7" s="5"/>
    </row>
    <row r="8" spans="2:46" customFormat="1" x14ac:dyDescent="0.25">
      <c r="B8" s="5" t="s">
        <v>153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Z8" s="5"/>
      <c r="AA8" s="5"/>
      <c r="AB8" s="5"/>
      <c r="AC8" s="5"/>
      <c r="AD8" s="5"/>
      <c r="AE8" s="5"/>
      <c r="AF8" s="5"/>
      <c r="AG8" s="5"/>
      <c r="AH8" s="5"/>
      <c r="AI8" s="15">
        <f>AI7*0.51</f>
        <v>122.4</v>
      </c>
      <c r="AJ8" s="15">
        <f t="shared" ref="AJ8:AM8" si="3">AJ7*0.51</f>
        <v>734.4</v>
      </c>
      <c r="AK8" s="15">
        <f t="shared" si="3"/>
        <v>1101.5999999999999</v>
      </c>
      <c r="AL8" s="15">
        <f t="shared" si="3"/>
        <v>1530</v>
      </c>
      <c r="AM8" s="15">
        <f t="shared" si="3"/>
        <v>1407.6000000000001</v>
      </c>
      <c r="AN8" s="5"/>
      <c r="AO8" s="5"/>
      <c r="AP8" s="5"/>
      <c r="AQ8" s="5"/>
      <c r="AR8" s="5"/>
    </row>
    <row r="9" spans="2:46" customFormat="1" x14ac:dyDescent="0.25">
      <c r="B9" s="5" t="s">
        <v>154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Z9" s="5"/>
      <c r="AA9" s="5"/>
      <c r="AB9" s="5"/>
      <c r="AC9" s="5"/>
      <c r="AD9" s="5"/>
      <c r="AE9" s="5"/>
      <c r="AF9" s="5"/>
      <c r="AG9" s="5"/>
      <c r="AH9" s="5"/>
      <c r="AI9" s="15"/>
      <c r="AJ9" s="15">
        <f>AI7*0.041</f>
        <v>9.84</v>
      </c>
      <c r="AK9" s="15">
        <f>SUM(AI7:AJ7)*0.041</f>
        <v>68.88000000000001</v>
      </c>
      <c r="AL9" s="15">
        <f>SUM(AI7:AK7)*0.041</f>
        <v>157.44</v>
      </c>
      <c r="AM9" s="15">
        <f>SUM(AI7:AL7)*0.041</f>
        <v>280.44</v>
      </c>
      <c r="AN9" s="15">
        <f>SUM(AI7:AM7)*0.041</f>
        <v>393.6</v>
      </c>
      <c r="AO9" s="15">
        <f>AN9</f>
        <v>393.6</v>
      </c>
      <c r="AP9" s="15">
        <f t="shared" ref="AP9:AR9" si="4">AO9</f>
        <v>393.6</v>
      </c>
      <c r="AQ9" s="15">
        <f t="shared" si="4"/>
        <v>393.6</v>
      </c>
      <c r="AR9" s="15">
        <f t="shared" si="4"/>
        <v>393.6</v>
      </c>
      <c r="AT9" s="15"/>
    </row>
    <row r="10" spans="2:46" x14ac:dyDescent="0.25">
      <c r="B10" s="5" t="s">
        <v>155</v>
      </c>
      <c r="AI10" s="3">
        <f>AI9*0.51</f>
        <v>0</v>
      </c>
      <c r="AJ10" s="3">
        <f t="shared" ref="AJ10:AR10" si="5">AJ9*0.51</f>
        <v>5.0183999999999997</v>
      </c>
      <c r="AK10" s="3">
        <f t="shared" si="5"/>
        <v>35.128800000000005</v>
      </c>
      <c r="AL10" s="3">
        <f t="shared" si="5"/>
        <v>80.294399999999996</v>
      </c>
      <c r="AM10" s="3">
        <f t="shared" si="5"/>
        <v>143.02440000000001</v>
      </c>
      <c r="AN10" s="3">
        <f t="shared" si="5"/>
        <v>200.73600000000002</v>
      </c>
      <c r="AO10" s="3">
        <f t="shared" si="5"/>
        <v>200.73600000000002</v>
      </c>
      <c r="AP10" s="3">
        <f t="shared" si="5"/>
        <v>200.73600000000002</v>
      </c>
      <c r="AQ10" s="3">
        <f t="shared" si="5"/>
        <v>200.73600000000002</v>
      </c>
      <c r="AR10" s="3">
        <f t="shared" si="5"/>
        <v>200.73600000000002</v>
      </c>
    </row>
    <row r="11" spans="2:46" x14ac:dyDescent="0.25">
      <c r="B11" s="5" t="s">
        <v>156</v>
      </c>
      <c r="AI11" s="3">
        <f>AI10+AI8</f>
        <v>122.4</v>
      </c>
      <c r="AJ11" s="3">
        <f t="shared" ref="AJ11:AR11" si="6">AJ10+AJ8</f>
        <v>739.41840000000002</v>
      </c>
      <c r="AK11" s="3">
        <f t="shared" si="6"/>
        <v>1136.7287999999999</v>
      </c>
      <c r="AL11" s="3">
        <f t="shared" si="6"/>
        <v>1610.2944</v>
      </c>
      <c r="AM11" s="3">
        <f t="shared" si="6"/>
        <v>1550.6244000000002</v>
      </c>
      <c r="AN11" s="3">
        <f t="shared" si="6"/>
        <v>200.73600000000002</v>
      </c>
      <c r="AO11" s="3">
        <f t="shared" si="6"/>
        <v>200.73600000000002</v>
      </c>
      <c r="AP11" s="3">
        <f t="shared" si="6"/>
        <v>200.73600000000002</v>
      </c>
      <c r="AQ11" s="3">
        <f t="shared" si="6"/>
        <v>200.73600000000002</v>
      </c>
      <c r="AR11" s="3">
        <f t="shared" si="6"/>
        <v>200.73600000000002</v>
      </c>
    </row>
    <row r="13" spans="2:46" x14ac:dyDescent="0.25">
      <c r="B13" s="6" t="s">
        <v>157</v>
      </c>
      <c r="AJ13" s="3" t="s">
        <v>161</v>
      </c>
      <c r="AK13" s="3">
        <v>1540000</v>
      </c>
      <c r="AM13" s="3" t="s">
        <v>162</v>
      </c>
      <c r="AN13" s="3">
        <v>12600</v>
      </c>
    </row>
    <row r="14" spans="2:46" x14ac:dyDescent="0.25">
      <c r="B14" s="5" t="s">
        <v>158</v>
      </c>
      <c r="AJ14" s="3">
        <v>40000</v>
      </c>
      <c r="AK14" s="3">
        <v>60000</v>
      </c>
      <c r="AL14" s="3">
        <v>80000</v>
      </c>
      <c r="AM14" s="3">
        <f>AL14</f>
        <v>80000</v>
      </c>
      <c r="AN14" s="3">
        <f t="shared" ref="AN14:AR14" si="7">AM14</f>
        <v>80000</v>
      </c>
      <c r="AO14" s="3">
        <f t="shared" si="7"/>
        <v>80000</v>
      </c>
      <c r="AP14" s="3">
        <f t="shared" si="7"/>
        <v>80000</v>
      </c>
      <c r="AQ14" s="3">
        <f t="shared" si="7"/>
        <v>80000</v>
      </c>
      <c r="AR14" s="3">
        <f t="shared" si="7"/>
        <v>80000</v>
      </c>
    </row>
    <row r="15" spans="2:46" x14ac:dyDescent="0.25">
      <c r="B15" s="5" t="s">
        <v>159</v>
      </c>
      <c r="AJ15" s="3">
        <f>AJ14*($AN$13/$AK$13)</f>
        <v>327.27272727272731</v>
      </c>
      <c r="AK15" s="3">
        <f t="shared" ref="AK15:AR15" si="8">AK14*($AN$13/$AK$13)</f>
        <v>490.90909090909093</v>
      </c>
      <c r="AL15" s="3">
        <f t="shared" si="8"/>
        <v>654.54545454545462</v>
      </c>
      <c r="AM15" s="3">
        <f t="shared" si="8"/>
        <v>654.54545454545462</v>
      </c>
      <c r="AN15" s="3">
        <f t="shared" si="8"/>
        <v>654.54545454545462</v>
      </c>
      <c r="AO15" s="3">
        <f t="shared" si="8"/>
        <v>654.54545454545462</v>
      </c>
      <c r="AP15" s="3">
        <f t="shared" si="8"/>
        <v>654.54545454545462</v>
      </c>
      <c r="AQ15" s="3">
        <f t="shared" si="8"/>
        <v>654.54545454545462</v>
      </c>
      <c r="AR15" s="3">
        <f t="shared" si="8"/>
        <v>654.54545454545462</v>
      </c>
    </row>
    <row r="16" spans="2:46" x14ac:dyDescent="0.25">
      <c r="B16" s="5" t="s">
        <v>160</v>
      </c>
      <c r="AJ16" s="3">
        <f>AJ15*0.49</f>
        <v>160.36363636363637</v>
      </c>
      <c r="AK16" s="3">
        <f t="shared" ref="AK16:AR16" si="9">AK15*0.49</f>
        <v>240.54545454545456</v>
      </c>
      <c r="AL16" s="3">
        <f t="shared" si="9"/>
        <v>320.72727272727275</v>
      </c>
      <c r="AM16" s="3">
        <f t="shared" si="9"/>
        <v>320.72727272727275</v>
      </c>
      <c r="AN16" s="3">
        <f t="shared" si="9"/>
        <v>320.72727272727275</v>
      </c>
      <c r="AO16" s="3">
        <f t="shared" si="9"/>
        <v>320.72727272727275</v>
      </c>
      <c r="AP16" s="3">
        <f t="shared" si="9"/>
        <v>320.72727272727275</v>
      </c>
      <c r="AQ16" s="3">
        <f t="shared" si="9"/>
        <v>320.72727272727275</v>
      </c>
      <c r="AR16" s="3">
        <f t="shared" si="9"/>
        <v>320.72727272727275</v>
      </c>
    </row>
    <row r="18" spans="1:44" x14ac:dyDescent="0.25">
      <c r="B18" s="6" t="s">
        <v>163</v>
      </c>
    </row>
    <row r="19" spans="1:44" x14ac:dyDescent="0.25">
      <c r="B19" s="5" t="s">
        <v>164</v>
      </c>
      <c r="AN19" s="3">
        <v>5</v>
      </c>
      <c r="AO19" s="3">
        <v>20</v>
      </c>
      <c r="AP19" s="3">
        <v>25</v>
      </c>
      <c r="AQ19" s="3">
        <v>25</v>
      </c>
      <c r="AR19" s="3">
        <v>25</v>
      </c>
    </row>
    <row r="20" spans="1:44" x14ac:dyDescent="0.25">
      <c r="B20" s="5" t="s">
        <v>165</v>
      </c>
      <c r="AN20" s="3">
        <f>AN19*120</f>
        <v>600</v>
      </c>
      <c r="AO20" s="3">
        <f t="shared" ref="AO20:AR20" si="10">AO19*120</f>
        <v>2400</v>
      </c>
      <c r="AP20" s="3">
        <f t="shared" si="10"/>
        <v>3000</v>
      </c>
      <c r="AQ20" s="3">
        <f t="shared" si="10"/>
        <v>3000</v>
      </c>
      <c r="AR20" s="3">
        <f t="shared" si="10"/>
        <v>3000</v>
      </c>
    </row>
    <row r="21" spans="1:44" x14ac:dyDescent="0.25">
      <c r="B21" s="5" t="s">
        <v>166</v>
      </c>
      <c r="AO21" s="3">
        <f>AN20*0.041</f>
        <v>24.6</v>
      </c>
      <c r="AP21" s="3">
        <f>SUM(AN20:AO20)*0.041</f>
        <v>123</v>
      </c>
      <c r="AQ21" s="3">
        <f>SUM(AN20:AP20)*0.041</f>
        <v>246</v>
      </c>
      <c r="AR21" s="3">
        <f>SUM(AN20:AQ20)*0.041</f>
        <v>369</v>
      </c>
    </row>
    <row r="22" spans="1:44" x14ac:dyDescent="0.25">
      <c r="B22" s="5" t="s">
        <v>167</v>
      </c>
      <c r="AN22" s="3">
        <f>SUM(AN20:AN21)*0.51</f>
        <v>306</v>
      </c>
      <c r="AO22" s="3">
        <f t="shared" ref="AO22:AR22" si="11">SUM(AO20:AO21)*0.51</f>
        <v>1236.546</v>
      </c>
      <c r="AP22" s="3">
        <f t="shared" si="11"/>
        <v>1592.73</v>
      </c>
      <c r="AQ22" s="3">
        <f t="shared" si="11"/>
        <v>1655.46</v>
      </c>
      <c r="AR22" s="3">
        <f t="shared" si="11"/>
        <v>1718.19</v>
      </c>
    </row>
    <row r="24" spans="1:44" x14ac:dyDescent="0.25">
      <c r="B24" s="6"/>
    </row>
    <row r="25" spans="1:44" x14ac:dyDescent="0.25">
      <c r="B25" s="5" t="s">
        <v>111</v>
      </c>
      <c r="C25" s="3">
        <v>138.19</v>
      </c>
      <c r="D25" s="3">
        <v>288.49079999999998</v>
      </c>
      <c r="E25" s="3">
        <v>315.68</v>
      </c>
      <c r="F25" s="3">
        <v>227.33</v>
      </c>
      <c r="G25" s="3">
        <v>317.32319999999999</v>
      </c>
      <c r="H25" s="3">
        <v>246.61</v>
      </c>
      <c r="I25" s="3">
        <v>316.38170000000002</v>
      </c>
      <c r="J25" s="3">
        <v>334.04039999999998</v>
      </c>
      <c r="K25" s="3">
        <v>324.55689999999998</v>
      </c>
      <c r="L25" s="3">
        <v>471.702</v>
      </c>
      <c r="M25" s="3">
        <v>590.92550000000006</v>
      </c>
      <c r="N25" s="3">
        <v>808.10109999999997</v>
      </c>
      <c r="O25" s="3">
        <v>746.07939999999996</v>
      </c>
      <c r="P25" s="3">
        <v>800.86069999999995</v>
      </c>
      <c r="Q25" s="3">
        <v>853.76089999999999</v>
      </c>
      <c r="R25" s="3">
        <v>1016.873</v>
      </c>
      <c r="S25" s="3">
        <f>O25*(1+S29)</f>
        <v>932.59924999999998</v>
      </c>
      <c r="T25" s="3">
        <f t="shared" ref="T25:V25" si="12">P25*(1+T29)</f>
        <v>1001.075875</v>
      </c>
      <c r="U25" s="3">
        <f t="shared" si="12"/>
        <v>1067.201125</v>
      </c>
      <c r="V25" s="3">
        <f t="shared" si="12"/>
        <v>1271.0912499999999</v>
      </c>
      <c r="AE25" s="3">
        <f>SUM(C25:F25)</f>
        <v>969.69079999999997</v>
      </c>
      <c r="AF25" s="3">
        <f>SUM(G25:J25)</f>
        <v>1214.3552999999999</v>
      </c>
      <c r="AG25" s="3">
        <f>SUM(K25:N25)</f>
        <v>2195.2855</v>
      </c>
      <c r="AH25" s="3">
        <f>SUM(O25:R25)</f>
        <v>3417.5740000000001</v>
      </c>
      <c r="AI25" s="3">
        <v>3200</v>
      </c>
      <c r="AJ25" s="3">
        <v>3200</v>
      </c>
      <c r="AK25" s="3">
        <v>3200</v>
      </c>
      <c r="AL25" s="3">
        <f t="shared" ref="AL25:AR25" si="13">AK25*(1+AL29)</f>
        <v>3360</v>
      </c>
      <c r="AM25" s="3">
        <f t="shared" si="13"/>
        <v>3494.4</v>
      </c>
      <c r="AN25" s="3">
        <f t="shared" si="13"/>
        <v>3634.1760000000004</v>
      </c>
      <c r="AO25" s="3">
        <f t="shared" si="13"/>
        <v>3743.2012800000007</v>
      </c>
      <c r="AP25" s="3">
        <f t="shared" si="13"/>
        <v>3855.4973184000009</v>
      </c>
      <c r="AQ25" s="3">
        <f t="shared" si="13"/>
        <v>3971.1622379520013</v>
      </c>
      <c r="AR25" s="3">
        <f t="shared" si="13"/>
        <v>4090.2971050905617</v>
      </c>
    </row>
    <row r="26" spans="1:44" x14ac:dyDescent="0.25">
      <c r="B26" s="5" t="s">
        <v>112</v>
      </c>
      <c r="C26" s="3">
        <v>0</v>
      </c>
      <c r="D26" s="3">
        <v>0</v>
      </c>
      <c r="E26" s="3">
        <v>7.69</v>
      </c>
      <c r="F26" s="3">
        <v>33.85</v>
      </c>
      <c r="G26" s="3">
        <v>17.59</v>
      </c>
      <c r="H26" s="3">
        <v>77.84</v>
      </c>
      <c r="I26" s="3">
        <v>61.601999999999997</v>
      </c>
      <c r="J26" s="3">
        <v>61.934600000000003</v>
      </c>
      <c r="K26" s="3">
        <v>82.52</v>
      </c>
      <c r="L26" s="3">
        <v>126.0856</v>
      </c>
      <c r="M26" s="3">
        <v>154.87039999999999</v>
      </c>
      <c r="N26" s="3">
        <v>166.11439999999999</v>
      </c>
      <c r="O26" s="3">
        <v>164.67930000000001</v>
      </c>
      <c r="P26" s="3">
        <v>134.59100000000001</v>
      </c>
      <c r="Q26" s="3">
        <v>100.91800000000001</v>
      </c>
      <c r="R26" s="3">
        <v>35.5381</v>
      </c>
      <c r="S26" s="3">
        <f>O26*(1+S30)</f>
        <v>82.339650000000006</v>
      </c>
      <c r="T26" s="3">
        <f t="shared" ref="T26:V26" si="14">P26*(1+T30)</f>
        <v>67.295500000000004</v>
      </c>
      <c r="U26" s="3">
        <f t="shared" si="14"/>
        <v>50.459000000000003</v>
      </c>
      <c r="V26" s="3">
        <f t="shared" si="14"/>
        <v>17.76905</v>
      </c>
      <c r="AE26" s="3">
        <f>SUM(C26:F26)</f>
        <v>41.54</v>
      </c>
      <c r="AF26" s="3">
        <f>SUM(G26:J26)</f>
        <v>218.96660000000003</v>
      </c>
      <c r="AG26" s="3">
        <f>SUM(K26:N26)</f>
        <v>529.59040000000005</v>
      </c>
      <c r="AH26" s="3">
        <f>SUM(O26:R26)</f>
        <v>435.72640000000001</v>
      </c>
      <c r="AI26" s="3">
        <v>2250</v>
      </c>
      <c r="AJ26" s="3">
        <v>2250</v>
      </c>
      <c r="AK26" s="3">
        <v>2250</v>
      </c>
      <c r="AL26" s="3">
        <f t="shared" ref="AL26:AR26" si="15">AK26*(1+AL30)</f>
        <v>2475</v>
      </c>
      <c r="AM26" s="3">
        <f t="shared" si="15"/>
        <v>2846.25</v>
      </c>
      <c r="AN26" s="3">
        <f t="shared" si="15"/>
        <v>3273.1874999999995</v>
      </c>
      <c r="AO26" s="3">
        <f t="shared" si="15"/>
        <v>3665.97</v>
      </c>
      <c r="AP26" s="3">
        <f t="shared" si="15"/>
        <v>4105.8864000000003</v>
      </c>
      <c r="AQ26" s="3">
        <f t="shared" si="15"/>
        <v>4598.5927680000004</v>
      </c>
      <c r="AR26" s="3">
        <f t="shared" si="15"/>
        <v>5150.4239001600008</v>
      </c>
    </row>
    <row r="27" spans="1:44" x14ac:dyDescent="0.25">
      <c r="B27" s="5" t="s">
        <v>115</v>
      </c>
      <c r="C27" s="3">
        <v>0</v>
      </c>
      <c r="D27" s="3">
        <v>2.66</v>
      </c>
      <c r="E27" s="3">
        <f>0.21+3.44</f>
        <v>3.65</v>
      </c>
      <c r="F27" s="3">
        <f>0.41+7.77</f>
        <v>8.18</v>
      </c>
      <c r="G27" s="3">
        <v>3.3</v>
      </c>
      <c r="H27" s="3">
        <f>4.4+4.17</f>
        <v>8.57</v>
      </c>
      <c r="I27" s="3">
        <v>7.7134</v>
      </c>
      <c r="J27" s="3">
        <v>22.929600000000001</v>
      </c>
      <c r="K27" s="3">
        <v>19.1373</v>
      </c>
      <c r="L27" s="3">
        <v>8.4169</v>
      </c>
      <c r="M27" s="3">
        <v>20.6069</v>
      </c>
      <c r="AE27" s="3">
        <f>SUM(C27:F27)</f>
        <v>14.49</v>
      </c>
      <c r="AF27" s="3">
        <f>SUM(G27:J27)</f>
        <v>42.513000000000005</v>
      </c>
      <c r="AG27" s="3">
        <f>SUM(K27:N27)</f>
        <v>48.161100000000005</v>
      </c>
      <c r="AH27" s="3">
        <f>SUM(O27:R27)</f>
        <v>0</v>
      </c>
    </row>
    <row r="29" spans="1:44" x14ac:dyDescent="0.25">
      <c r="B29" s="5" t="s">
        <v>113</v>
      </c>
      <c r="G29" s="12">
        <f>G25/C25-1</f>
        <v>1.2962819306751574</v>
      </c>
      <c r="H29" s="12">
        <f t="shared" ref="H29:R29" si="16">H25/D25-1</f>
        <v>-0.14517204708087739</v>
      </c>
      <c r="I29" s="12">
        <f t="shared" si="16"/>
        <v>2.2228205778003218E-3</v>
      </c>
      <c r="J29" s="12">
        <f t="shared" si="16"/>
        <v>0.4694074693177317</v>
      </c>
      <c r="K29" s="12">
        <f t="shared" si="16"/>
        <v>2.2796001048772885E-2</v>
      </c>
      <c r="L29" s="12">
        <f t="shared" si="16"/>
        <v>0.91274481975588984</v>
      </c>
      <c r="M29" s="12">
        <f t="shared" si="16"/>
        <v>0.86776131489273878</v>
      </c>
      <c r="N29" s="12">
        <f t="shared" si="16"/>
        <v>1.4191717528777956</v>
      </c>
      <c r="O29" s="12">
        <f t="shared" si="16"/>
        <v>1.2987630212144619</v>
      </c>
      <c r="P29" s="12">
        <f t="shared" si="16"/>
        <v>0.69781069403988094</v>
      </c>
      <c r="Q29" s="12">
        <f t="shared" si="16"/>
        <v>0.44478601786519611</v>
      </c>
      <c r="R29" s="12">
        <f t="shared" si="16"/>
        <v>0.25834873879023323</v>
      </c>
      <c r="S29" s="12">
        <v>0.25</v>
      </c>
      <c r="T29" s="12">
        <v>0.25</v>
      </c>
      <c r="U29" s="12">
        <v>0.25</v>
      </c>
      <c r="V29" s="12">
        <v>0.25</v>
      </c>
      <c r="AF29" s="12">
        <f t="shared" ref="AF29:AI30" si="17">AF25/AE25-1</f>
        <v>0.25231187095927887</v>
      </c>
      <c r="AG29" s="12">
        <f t="shared" si="17"/>
        <v>0.80777858012395543</v>
      </c>
      <c r="AH29" s="12">
        <f t="shared" si="17"/>
        <v>0.5567788335503514</v>
      </c>
      <c r="AI29" s="12">
        <f t="shared" si="17"/>
        <v>-6.3663288636910287E-2</v>
      </c>
      <c r="AJ29" s="12">
        <f t="shared" ref="AJ29:AK29" si="18">AJ25/AI25-1</f>
        <v>0</v>
      </c>
      <c r="AK29" s="12">
        <f t="shared" si="18"/>
        <v>0</v>
      </c>
      <c r="AL29" s="12">
        <v>0.05</v>
      </c>
      <c r="AM29" s="12">
        <v>0.04</v>
      </c>
      <c r="AN29" s="12">
        <v>0.04</v>
      </c>
      <c r="AO29" s="12">
        <v>0.03</v>
      </c>
      <c r="AP29" s="12">
        <v>0.03</v>
      </c>
      <c r="AQ29" s="12">
        <v>0.03</v>
      </c>
      <c r="AR29" s="12">
        <v>0.03</v>
      </c>
    </row>
    <row r="30" spans="1:44" x14ac:dyDescent="0.25">
      <c r="B30" s="5" t="s">
        <v>114</v>
      </c>
      <c r="G30" s="12"/>
      <c r="H30" s="12"/>
      <c r="I30" s="12">
        <f t="shared" ref="I30" si="19">I26/E26-1</f>
        <v>7.010663198959687</v>
      </c>
      <c r="J30" s="12">
        <f t="shared" ref="J30" si="20">J26/F26-1</f>
        <v>0.82967799113737084</v>
      </c>
      <c r="K30" s="12">
        <f t="shared" ref="K30" si="21">K26/G26-1</f>
        <v>3.6913018760659462</v>
      </c>
      <c r="L30" s="12">
        <f t="shared" ref="L30" si="22">L26/H26-1</f>
        <v>0.61980472764645422</v>
      </c>
      <c r="M30" s="12">
        <f t="shared" ref="M30" si="23">M26/I26-1</f>
        <v>1.5140482451868444</v>
      </c>
      <c r="N30" s="12">
        <f t="shared" ref="N30" si="24">N26/J26-1</f>
        <v>1.6820936923787349</v>
      </c>
      <c r="O30" s="12">
        <f t="shared" ref="O30" si="25">O26/K26-1</f>
        <v>0.99562893843916656</v>
      </c>
      <c r="P30" s="12">
        <f t="shared" ref="P30" si="26">P26/L26-1</f>
        <v>6.7457346437658217E-2</v>
      </c>
      <c r="Q30" s="12">
        <f t="shared" ref="Q30" si="27">Q26/M26-1</f>
        <v>-0.3483712833440088</v>
      </c>
      <c r="R30" s="12">
        <f t="shared" ref="R30" si="28">R26/N26-1</f>
        <v>-0.78606249668902872</v>
      </c>
      <c r="S30" s="12">
        <v>-0.5</v>
      </c>
      <c r="T30" s="12">
        <v>-0.5</v>
      </c>
      <c r="U30" s="12">
        <v>-0.5</v>
      </c>
      <c r="V30" s="12">
        <v>-0.5</v>
      </c>
      <c r="AF30" s="12">
        <f t="shared" si="17"/>
        <v>4.271222917669717</v>
      </c>
      <c r="AG30" s="12">
        <f t="shared" si="17"/>
        <v>1.4185898671304207</v>
      </c>
      <c r="AH30" s="12">
        <f t="shared" si="17"/>
        <v>-0.17723886233587316</v>
      </c>
      <c r="AI30" s="12">
        <f t="shared" si="17"/>
        <v>4.1637908559132519</v>
      </c>
      <c r="AJ30" s="12">
        <f t="shared" ref="AJ30:AK30" si="29">AJ26/AI26-1</f>
        <v>0</v>
      </c>
      <c r="AK30" s="12">
        <f t="shared" si="29"/>
        <v>0</v>
      </c>
      <c r="AL30" s="12">
        <v>0.1</v>
      </c>
      <c r="AM30" s="12">
        <v>0.15</v>
      </c>
      <c r="AN30" s="12">
        <v>0.15</v>
      </c>
      <c r="AO30" s="12">
        <v>0.12</v>
      </c>
      <c r="AP30" s="12">
        <v>0.12</v>
      </c>
      <c r="AQ30" s="12">
        <v>0.12</v>
      </c>
      <c r="AR30" s="12">
        <v>0.12</v>
      </c>
    </row>
    <row r="32" spans="1:44" x14ac:dyDescent="0.25">
      <c r="A32" s="3"/>
      <c r="B32" s="6" t="s">
        <v>18</v>
      </c>
      <c r="C32" s="9">
        <f t="shared" ref="C32:I32" si="30">SUM(C25:C27)</f>
        <v>138.19</v>
      </c>
      <c r="D32" s="9">
        <f t="shared" si="30"/>
        <v>291.1508</v>
      </c>
      <c r="E32" s="9">
        <f t="shared" si="30"/>
        <v>327.02</v>
      </c>
      <c r="F32" s="9">
        <f t="shared" si="30"/>
        <v>269.36</v>
      </c>
      <c r="G32" s="9">
        <f t="shared" si="30"/>
        <v>338.21319999999997</v>
      </c>
      <c r="H32" s="9">
        <f t="shared" si="30"/>
        <v>333.02000000000004</v>
      </c>
      <c r="I32" s="9">
        <f t="shared" si="30"/>
        <v>385.69709999999998</v>
      </c>
      <c r="J32" s="9">
        <f>J27+J26+J25</f>
        <v>418.90459999999996</v>
      </c>
      <c r="K32" s="9">
        <v>426.21</v>
      </c>
      <c r="L32" s="9">
        <f>L27+L26+Model!L25</f>
        <v>606.20450000000005</v>
      </c>
      <c r="M32" s="9">
        <f>M27+M26+M25</f>
        <v>766.40280000000007</v>
      </c>
      <c r="N32" s="9">
        <f>N25+N26</f>
        <v>974.21550000000002</v>
      </c>
      <c r="O32" s="9">
        <f>O25+O26</f>
        <v>910.75869999999998</v>
      </c>
      <c r="P32" s="9">
        <f>P25+P26</f>
        <v>935.45169999999996</v>
      </c>
      <c r="Q32" s="9">
        <f>Q25+Q26</f>
        <v>954.6789</v>
      </c>
      <c r="R32" s="9">
        <f>R25+R26</f>
        <v>1052.4111</v>
      </c>
      <c r="S32" s="9">
        <f t="shared" ref="S32:V32" si="31">S25+S26</f>
        <v>1014.9389</v>
      </c>
      <c r="T32" s="9">
        <f t="shared" si="31"/>
        <v>1068.3713749999999</v>
      </c>
      <c r="U32" s="9">
        <f t="shared" si="31"/>
        <v>1117.6601250000001</v>
      </c>
      <c r="V32" s="9">
        <f t="shared" si="31"/>
        <v>1288.8603000000001</v>
      </c>
      <c r="Z32" s="3">
        <v>974.78</v>
      </c>
      <c r="AA32" s="3">
        <v>1739.18</v>
      </c>
      <c r="AB32" s="3">
        <v>1271.43</v>
      </c>
      <c r="AC32" s="3">
        <v>1710.77</v>
      </c>
      <c r="AD32" s="3">
        <v>1766.32</v>
      </c>
      <c r="AE32" s="3">
        <v>1520.63</v>
      </c>
      <c r="AF32" s="3">
        <v>1467.5</v>
      </c>
      <c r="AG32" s="3">
        <v>2779.5904</v>
      </c>
      <c r="AH32" s="3">
        <f>AH25+AH26+AH27</f>
        <v>3853.3004000000001</v>
      </c>
      <c r="AI32" s="3">
        <f>AI25+AI26+AI22+AI16+AI11</f>
        <v>5572.4</v>
      </c>
      <c r="AJ32" s="3">
        <f>AJ25+AJ26+AJ22+AJ16+AJ11</f>
        <v>6349.7820363636365</v>
      </c>
      <c r="AK32" s="3">
        <f t="shared" ref="AK32:AR32" si="32">AK25+AK26+AK22+AK16+AK11</f>
        <v>6827.2742545454548</v>
      </c>
      <c r="AL32" s="3">
        <f t="shared" si="32"/>
        <v>7766.0216727272727</v>
      </c>
      <c r="AM32" s="3">
        <f t="shared" si="32"/>
        <v>8212.0016727272723</v>
      </c>
      <c r="AN32" s="3">
        <f t="shared" si="32"/>
        <v>7734.8267727272723</v>
      </c>
      <c r="AO32" s="3">
        <f t="shared" si="32"/>
        <v>9167.1805527272736</v>
      </c>
      <c r="AP32" s="3">
        <f t="shared" si="32"/>
        <v>10075.576991127275</v>
      </c>
      <c r="AQ32" s="3">
        <f t="shared" si="32"/>
        <v>10746.678278679276</v>
      </c>
      <c r="AR32" s="3">
        <f t="shared" si="32"/>
        <v>11480.374277977835</v>
      </c>
    </row>
    <row r="33" spans="1:185" x14ac:dyDescent="0.25">
      <c r="A33" s="3"/>
      <c r="B33" s="5" t="s">
        <v>19</v>
      </c>
      <c r="C33" s="3">
        <v>1.59</v>
      </c>
      <c r="D33" s="3">
        <v>1.95</v>
      </c>
      <c r="E33" s="3">
        <v>4.59</v>
      </c>
      <c r="F33" s="3">
        <v>3.22</v>
      </c>
      <c r="G33" s="3">
        <v>6.52</v>
      </c>
      <c r="H33" s="3">
        <v>8.0299999999999994</v>
      </c>
      <c r="I33" s="3">
        <v>1.6</v>
      </c>
      <c r="J33" s="3">
        <v>5.62</v>
      </c>
      <c r="K33" s="3">
        <v>10.67</v>
      </c>
      <c r="L33" s="3">
        <v>16.22</v>
      </c>
      <c r="M33" s="3">
        <v>10.44</v>
      </c>
      <c r="N33" s="3">
        <v>8.3109999999999999</v>
      </c>
      <c r="O33" s="3">
        <v>9.68</v>
      </c>
      <c r="P33" s="3">
        <v>6.77</v>
      </c>
      <c r="Q33" s="3">
        <v>14.4735</v>
      </c>
      <c r="R33" s="3">
        <v>14.744899999999999</v>
      </c>
      <c r="S33" s="3">
        <v>0</v>
      </c>
      <c r="T33" s="3">
        <v>0</v>
      </c>
      <c r="U33" s="3">
        <v>0</v>
      </c>
      <c r="V33" s="3">
        <v>0</v>
      </c>
      <c r="Z33" s="3">
        <v>40.85</v>
      </c>
      <c r="AA33" s="3">
        <v>29.01</v>
      </c>
      <c r="AB33" s="3">
        <v>29.87</v>
      </c>
      <c r="AC33" s="3">
        <v>53.36</v>
      </c>
      <c r="AD33" s="3">
        <v>34.020000000000003</v>
      </c>
      <c r="AE33" s="3">
        <v>24.85</v>
      </c>
      <c r="AF33" s="3">
        <v>17.72</v>
      </c>
      <c r="AG33" s="3">
        <v>42.58</v>
      </c>
      <c r="AH33" s="3">
        <f>SUM(O33:R33)</f>
        <v>45.668399999999998</v>
      </c>
      <c r="AI33" s="3">
        <v>0</v>
      </c>
      <c r="AJ33" s="3">
        <f>AI61*$AV$56</f>
        <v>8.3215541325000011</v>
      </c>
      <c r="AK33" s="3">
        <f t="shared" ref="AK33:AR33" si="33">AJ61*$AV$56</f>
        <v>15.152591479605833</v>
      </c>
      <c r="AL33" s="3">
        <f t="shared" si="33"/>
        <v>22.88838147228844</v>
      </c>
      <c r="AM33" s="3">
        <f t="shared" si="33"/>
        <v>31.83593266958167</v>
      </c>
      <c r="AN33" s="3">
        <f t="shared" si="33"/>
        <v>41.493599219615533</v>
      </c>
      <c r="AO33" s="3">
        <f t="shared" si="33"/>
        <v>50.151739298625309</v>
      </c>
      <c r="AP33" s="3">
        <f t="shared" si="33"/>
        <v>61.612841371103045</v>
      </c>
      <c r="AQ33" s="3">
        <f t="shared" si="33"/>
        <v>74.922954482758385</v>
      </c>
      <c r="AR33" s="3">
        <f t="shared" si="33"/>
        <v>88.812356222382789</v>
      </c>
    </row>
    <row r="34" spans="1:185" x14ac:dyDescent="0.25">
      <c r="A34" s="3"/>
      <c r="B34" s="6" t="s">
        <v>20</v>
      </c>
      <c r="C34" s="9">
        <f>C32+C33</f>
        <v>139.78</v>
      </c>
      <c r="D34" s="9">
        <f>D32+D33</f>
        <v>293.10079999999999</v>
      </c>
      <c r="E34" s="9">
        <f t="shared" ref="E34:G34" si="34">E32+E33</f>
        <v>331.60999999999996</v>
      </c>
      <c r="F34" s="9">
        <f t="shared" si="34"/>
        <v>272.58000000000004</v>
      </c>
      <c r="G34" s="9">
        <f t="shared" si="34"/>
        <v>344.73319999999995</v>
      </c>
      <c r="H34" s="9">
        <f t="shared" ref="H34:I34" si="35">H32+H33</f>
        <v>341.05</v>
      </c>
      <c r="I34" s="9">
        <f t="shared" si="35"/>
        <v>387.2971</v>
      </c>
      <c r="J34" s="9">
        <f t="shared" ref="J34:L34" si="36">J32+J33</f>
        <v>424.52459999999996</v>
      </c>
      <c r="K34" s="9">
        <f t="shared" si="36"/>
        <v>436.88</v>
      </c>
      <c r="L34" s="9">
        <f t="shared" si="36"/>
        <v>622.42450000000008</v>
      </c>
      <c r="M34" s="9">
        <f t="shared" ref="M34:O34" si="37">M32+M33</f>
        <v>776.84280000000012</v>
      </c>
      <c r="N34" s="9">
        <f t="shared" si="37"/>
        <v>982.52650000000006</v>
      </c>
      <c r="O34" s="9">
        <f t="shared" si="37"/>
        <v>920.43869999999993</v>
      </c>
      <c r="P34" s="9">
        <f t="shared" ref="P34:Q34" si="38">P32+P33</f>
        <v>942.22169999999994</v>
      </c>
      <c r="Q34" s="9">
        <f t="shared" si="38"/>
        <v>969.15239999999994</v>
      </c>
      <c r="R34" s="9">
        <f>R32+R33</f>
        <v>1067.1559999999999</v>
      </c>
      <c r="S34" s="9">
        <f t="shared" ref="S34:V34" si="39">S32+S33</f>
        <v>1014.9389</v>
      </c>
      <c r="T34" s="9">
        <f t="shared" si="39"/>
        <v>1068.3713749999999</v>
      </c>
      <c r="U34" s="9">
        <f t="shared" si="39"/>
        <v>1117.6601250000001</v>
      </c>
      <c r="V34" s="9">
        <f t="shared" si="39"/>
        <v>1288.8603000000001</v>
      </c>
      <c r="Z34" s="9">
        <f>Z32+Z33</f>
        <v>1015.63</v>
      </c>
      <c r="AA34" s="9">
        <f>AA32+AA33</f>
        <v>1768.19</v>
      </c>
      <c r="AB34" s="9">
        <f t="shared" ref="AB34:AC34" si="40">AB32+AB33</f>
        <v>1301.3</v>
      </c>
      <c r="AC34" s="9">
        <f t="shared" si="40"/>
        <v>1764.1299999999999</v>
      </c>
      <c r="AD34" s="9">
        <f>AD32+AD33</f>
        <v>1800.34</v>
      </c>
      <c r="AE34" s="9">
        <f>AE32+AE33</f>
        <v>1545.48</v>
      </c>
      <c r="AF34" s="9">
        <f t="shared" ref="AF34:AH34" si="41">AF32+AF33</f>
        <v>1485.22</v>
      </c>
      <c r="AG34" s="9">
        <f t="shared" si="41"/>
        <v>2822.1704</v>
      </c>
      <c r="AH34" s="9">
        <f t="shared" si="41"/>
        <v>3898.9688000000001</v>
      </c>
      <c r="AI34" s="9">
        <f t="shared" ref="AI34" si="42">AI32+AI33</f>
        <v>5572.4</v>
      </c>
      <c r="AJ34" s="9">
        <f t="shared" ref="AJ34" si="43">AJ32+AJ33</f>
        <v>6358.1035904961363</v>
      </c>
      <c r="AK34" s="9">
        <f t="shared" ref="AK34" si="44">AK32+AK33</f>
        <v>6842.4268460250605</v>
      </c>
      <c r="AL34" s="9">
        <f t="shared" ref="AL34" si="45">AL32+AL33</f>
        <v>7788.9100541995613</v>
      </c>
      <c r="AM34" s="9">
        <f t="shared" ref="AM34" si="46">AM32+AM33</f>
        <v>8243.8376053968532</v>
      </c>
      <c r="AN34" s="9">
        <f t="shared" ref="AN34" si="47">AN32+AN33</f>
        <v>7776.3203719468875</v>
      </c>
      <c r="AO34" s="9">
        <f t="shared" ref="AO34" si="48">AO32+AO33</f>
        <v>9217.3322920258997</v>
      </c>
      <c r="AP34" s="9">
        <f t="shared" ref="AP34" si="49">AP32+AP33</f>
        <v>10137.189832498378</v>
      </c>
      <c r="AQ34" s="9">
        <f t="shared" ref="AQ34" si="50">AQ32+AQ33</f>
        <v>10821.601233162033</v>
      </c>
      <c r="AR34" s="9">
        <f t="shared" ref="AR34" si="51">AR32+AR33</f>
        <v>11569.186634200218</v>
      </c>
    </row>
    <row r="35" spans="1:185" x14ac:dyDescent="0.25">
      <c r="A35" s="3"/>
      <c r="B35" s="5" t="s">
        <v>21</v>
      </c>
      <c r="C35" s="3">
        <v>101.21</v>
      </c>
      <c r="D35" s="3">
        <v>191.1</v>
      </c>
      <c r="E35" s="3">
        <v>239.26</v>
      </c>
      <c r="F35" s="3">
        <v>186.13</v>
      </c>
      <c r="G35" s="3">
        <v>235.33</v>
      </c>
      <c r="H35" s="3">
        <v>228.87</v>
      </c>
      <c r="I35" s="3">
        <v>284.22000000000003</v>
      </c>
      <c r="J35" s="3">
        <v>305.38</v>
      </c>
      <c r="K35" s="3">
        <v>359.9</v>
      </c>
      <c r="L35" s="3">
        <v>466.81</v>
      </c>
      <c r="M35" s="3">
        <v>581.37</v>
      </c>
      <c r="N35" s="3">
        <v>752.96100000000001</v>
      </c>
      <c r="O35" s="3">
        <v>726.66899999999998</v>
      </c>
      <c r="P35" s="3">
        <v>679.63</v>
      </c>
      <c r="Q35" s="3">
        <v>738.69010000000003</v>
      </c>
      <c r="R35" s="3">
        <v>806.68290000000002</v>
      </c>
      <c r="Z35" s="3">
        <v>558.67999999999995</v>
      </c>
      <c r="AA35" s="3">
        <v>915.19</v>
      </c>
      <c r="AB35" s="3">
        <v>692.37</v>
      </c>
      <c r="AC35" s="3">
        <v>1098.5</v>
      </c>
      <c r="AD35" s="3">
        <v>1192.29</v>
      </c>
      <c r="AE35" s="3">
        <v>1045.6600000000001</v>
      </c>
      <c r="AF35" s="3">
        <v>1037.25</v>
      </c>
      <c r="AG35" s="3">
        <v>2165.3000000000002</v>
      </c>
      <c r="AH35" s="3">
        <f>SUM(O35:R35)</f>
        <v>2951.6719999999996</v>
      </c>
    </row>
    <row r="36" spans="1:185" x14ac:dyDescent="0.25">
      <c r="A36" s="3"/>
      <c r="B36" s="6" t="s">
        <v>22</v>
      </c>
      <c r="C36" s="9">
        <f>C34-C35</f>
        <v>38.570000000000007</v>
      </c>
      <c r="D36" s="9">
        <f>D34-D35</f>
        <v>102.0008</v>
      </c>
      <c r="E36" s="9">
        <f t="shared" ref="E36:G36" si="52">E34-E35</f>
        <v>92.349999999999966</v>
      </c>
      <c r="F36" s="9">
        <f t="shared" si="52"/>
        <v>86.450000000000045</v>
      </c>
      <c r="G36" s="9">
        <f t="shared" si="52"/>
        <v>109.40319999999994</v>
      </c>
      <c r="H36" s="9">
        <f t="shared" ref="H36:I36" si="53">H34-H35</f>
        <v>112.18</v>
      </c>
      <c r="I36" s="9">
        <f t="shared" si="53"/>
        <v>103.07709999999997</v>
      </c>
      <c r="J36" s="9">
        <f t="shared" ref="J36:L36" si="54">J34-J35</f>
        <v>119.14459999999997</v>
      </c>
      <c r="K36" s="9">
        <f t="shared" si="54"/>
        <v>76.980000000000018</v>
      </c>
      <c r="L36" s="9">
        <f t="shared" si="54"/>
        <v>155.61450000000008</v>
      </c>
      <c r="M36" s="9">
        <f t="shared" ref="M36:O36" si="55">M34-M35</f>
        <v>195.47280000000012</v>
      </c>
      <c r="N36" s="9">
        <f t="shared" si="55"/>
        <v>229.56550000000004</v>
      </c>
      <c r="O36" s="9">
        <f t="shared" si="55"/>
        <v>193.76969999999994</v>
      </c>
      <c r="P36" s="9">
        <f t="shared" ref="P36:Q36" si="56">P34-P35</f>
        <v>262.59169999999995</v>
      </c>
      <c r="Q36" s="9">
        <f t="shared" si="56"/>
        <v>230.46229999999991</v>
      </c>
      <c r="R36" s="9">
        <f>R34-R35</f>
        <v>260.47309999999993</v>
      </c>
      <c r="S36" s="9">
        <f>S34*S53</f>
        <v>243.58533599999998</v>
      </c>
      <c r="T36" s="9">
        <f t="shared" ref="T36:V36" si="57">T34*T53</f>
        <v>256.40913</v>
      </c>
      <c r="U36" s="9">
        <f t="shared" si="57"/>
        <v>268.23842999999999</v>
      </c>
      <c r="V36" s="9">
        <f t="shared" si="57"/>
        <v>309.32647200000002</v>
      </c>
      <c r="Z36" s="9">
        <f>Z34-Z35</f>
        <v>456.95000000000005</v>
      </c>
      <c r="AA36" s="9">
        <f>AA34-AA35</f>
        <v>853</v>
      </c>
      <c r="AB36" s="9">
        <f t="shared" ref="AB36:AC36" si="58">AB34-AB35</f>
        <v>608.92999999999995</v>
      </c>
      <c r="AC36" s="9">
        <f t="shared" si="58"/>
        <v>665.62999999999988</v>
      </c>
      <c r="AD36" s="9">
        <f>AD34-AD35</f>
        <v>608.04999999999995</v>
      </c>
      <c r="AE36" s="9">
        <f>AE34-AE35</f>
        <v>499.81999999999994</v>
      </c>
      <c r="AF36" s="9">
        <f t="shared" ref="AF36:AH36" si="59">AF34-AF35</f>
        <v>447.97</v>
      </c>
      <c r="AG36" s="9">
        <f t="shared" si="59"/>
        <v>656.87039999999979</v>
      </c>
      <c r="AH36" s="9">
        <f t="shared" si="59"/>
        <v>947.29680000000053</v>
      </c>
      <c r="AI36" s="9">
        <f>SUM(S36:V36)</f>
        <v>1077.5593679999999</v>
      </c>
      <c r="AJ36" s="9">
        <f t="shared" ref="AJ36:AR36" si="60">AJ34*AJ53</f>
        <v>1525.9448617190726</v>
      </c>
      <c r="AK36" s="9">
        <f t="shared" si="60"/>
        <v>1710.6067115062651</v>
      </c>
      <c r="AL36" s="9">
        <f t="shared" si="60"/>
        <v>1947.2275135498903</v>
      </c>
      <c r="AM36" s="9">
        <f t="shared" si="60"/>
        <v>2143.3977774031819</v>
      </c>
      <c r="AN36" s="9">
        <f t="shared" si="60"/>
        <v>2099.6065004256598</v>
      </c>
      <c r="AO36" s="9">
        <f t="shared" si="60"/>
        <v>2580.8530417672523</v>
      </c>
      <c r="AP36" s="9">
        <f t="shared" si="60"/>
        <v>2939.7850514245292</v>
      </c>
      <c r="AQ36" s="9">
        <f t="shared" si="60"/>
        <v>3138.2643576169894</v>
      </c>
      <c r="AR36" s="9">
        <f t="shared" si="60"/>
        <v>3470.7559902600651</v>
      </c>
    </row>
    <row r="37" spans="1:185" x14ac:dyDescent="0.25">
      <c r="A37" s="3"/>
      <c r="B37" s="5" t="s">
        <v>23</v>
      </c>
      <c r="C37" s="3">
        <v>-3.14</v>
      </c>
      <c r="D37" s="3">
        <v>17.649999999999999</v>
      </c>
      <c r="E37" s="3">
        <v>2.2599999999999998</v>
      </c>
      <c r="F37" s="3">
        <v>-3.07</v>
      </c>
      <c r="G37" s="3">
        <v>15.52</v>
      </c>
      <c r="H37" s="3">
        <v>8.98</v>
      </c>
      <c r="I37" s="3">
        <v>-8.0299999999999994</v>
      </c>
      <c r="J37" s="3">
        <v>-6.15</v>
      </c>
      <c r="K37" s="3">
        <v>-39.22</v>
      </c>
      <c r="L37" s="3">
        <v>5.32</v>
      </c>
      <c r="M37" s="3">
        <v>25.06</v>
      </c>
      <c r="N37" s="3">
        <v>-5.5841000000000003</v>
      </c>
      <c r="O37" s="3">
        <v>-14.68</v>
      </c>
      <c r="P37" s="3">
        <v>41.81</v>
      </c>
      <c r="Q37" s="3">
        <v>8.4126999999999992</v>
      </c>
      <c r="R37" s="3">
        <v>0.79790000000000005</v>
      </c>
      <c r="S37" s="3">
        <f>AVERAGE(C37:R37)</f>
        <v>2.8710312499999997</v>
      </c>
      <c r="T37" s="3">
        <f>S37</f>
        <v>2.8710312499999997</v>
      </c>
      <c r="U37" s="3">
        <f>T37</f>
        <v>2.8710312499999997</v>
      </c>
      <c r="V37" s="3">
        <f>U37</f>
        <v>2.8710312499999997</v>
      </c>
      <c r="Z37" s="3">
        <f>-3.62+15.62</f>
        <v>12</v>
      </c>
      <c r="AA37" s="3">
        <f>164.6+25.59</f>
        <v>190.19</v>
      </c>
      <c r="AB37" s="3">
        <f>64.84+3.25</f>
        <v>68.09</v>
      </c>
      <c r="AC37" s="3">
        <v>-43.5</v>
      </c>
      <c r="AD37" s="3">
        <v>-40.799999999999997</v>
      </c>
      <c r="AE37" s="3">
        <v>-52.24</v>
      </c>
      <c r="AF37" s="3">
        <v>10.32</v>
      </c>
      <c r="AG37" s="3">
        <v>-15.36</v>
      </c>
      <c r="AH37" s="3">
        <f>SUM(O37:R37)</f>
        <v>36.340600000000002</v>
      </c>
      <c r="AI37" s="3">
        <f>SUM(S37:V37)</f>
        <v>11.484124999999999</v>
      </c>
      <c r="AJ37" s="3">
        <f>AVERAGE(AE37:AI37)</f>
        <v>-1.8910550000000002</v>
      </c>
      <c r="AK37" s="3">
        <f t="shared" ref="AK37:AR37" si="61">AJ37</f>
        <v>-1.8910550000000002</v>
      </c>
      <c r="AL37" s="3">
        <f t="shared" si="61"/>
        <v>-1.8910550000000002</v>
      </c>
      <c r="AM37" s="3">
        <f t="shared" si="61"/>
        <v>-1.8910550000000002</v>
      </c>
      <c r="AN37" s="3">
        <f t="shared" si="61"/>
        <v>-1.8910550000000002</v>
      </c>
      <c r="AO37" s="3">
        <f t="shared" si="61"/>
        <v>-1.8910550000000002</v>
      </c>
      <c r="AP37" s="3">
        <f t="shared" si="61"/>
        <v>-1.8910550000000002</v>
      </c>
      <c r="AQ37" s="3">
        <f t="shared" si="61"/>
        <v>-1.8910550000000002</v>
      </c>
      <c r="AR37" s="3">
        <f t="shared" si="61"/>
        <v>-1.8910550000000002</v>
      </c>
    </row>
    <row r="38" spans="1:185" x14ac:dyDescent="0.25">
      <c r="A38" s="3"/>
      <c r="B38" s="5" t="s">
        <v>24</v>
      </c>
      <c r="C38" s="3">
        <v>6.59</v>
      </c>
      <c r="D38" s="3">
        <v>6.7</v>
      </c>
      <c r="E38" s="3">
        <v>6.57</v>
      </c>
      <c r="F38" s="3">
        <v>8.61</v>
      </c>
      <c r="G38" s="3">
        <v>9.19</v>
      </c>
      <c r="H38" s="3">
        <v>10.62</v>
      </c>
      <c r="I38" s="3">
        <v>12.25</v>
      </c>
      <c r="J38" s="3">
        <v>12.76</v>
      </c>
      <c r="K38" s="3">
        <v>12.3</v>
      </c>
      <c r="L38" s="3">
        <v>13.02</v>
      </c>
      <c r="M38" s="3">
        <v>14.17</v>
      </c>
      <c r="N38" s="3">
        <v>16.8962</v>
      </c>
      <c r="O38" s="3">
        <v>15.8</v>
      </c>
      <c r="P38" s="3">
        <v>17.27</v>
      </c>
      <c r="Q38" s="3">
        <v>15.0664</v>
      </c>
      <c r="R38" s="3">
        <v>18.143000000000001</v>
      </c>
      <c r="S38" s="3">
        <f>O38*(1+S55)</f>
        <v>16.59</v>
      </c>
      <c r="T38" s="3">
        <f t="shared" ref="T38:V38" si="62">P38*(1+T55)</f>
        <v>18.133500000000002</v>
      </c>
      <c r="U38" s="3">
        <f t="shared" si="62"/>
        <v>15.81972</v>
      </c>
      <c r="V38" s="3">
        <f t="shared" si="62"/>
        <v>19.050150000000002</v>
      </c>
      <c r="Z38" s="3">
        <v>168.15</v>
      </c>
      <c r="AA38" s="3">
        <v>212.13</v>
      </c>
      <c r="AB38" s="3">
        <v>239.32</v>
      </c>
      <c r="AC38" s="3">
        <v>225.05</v>
      </c>
      <c r="AD38" s="3">
        <v>151.77000000000001</v>
      </c>
      <c r="AE38" s="3">
        <v>210.56</v>
      </c>
      <c r="AF38" s="3">
        <v>45.42</v>
      </c>
      <c r="AG38" s="3">
        <v>56.52</v>
      </c>
      <c r="AH38" s="3">
        <f>SUM(O38:R38)</f>
        <v>66.27940000000001</v>
      </c>
      <c r="AI38" s="3">
        <f t="shared" ref="AI38:AI41" si="63">SUM(S38:V38)</f>
        <v>69.593370000000007</v>
      </c>
      <c r="AJ38" s="3">
        <f>AI38*(1+AJ55)</f>
        <v>78.640508100000005</v>
      </c>
      <c r="AK38" s="3">
        <f t="shared" ref="AK38:AR38" si="64">AJ38*(1+AK55)</f>
        <v>88.863774152999994</v>
      </c>
      <c r="AL38" s="3">
        <f t="shared" si="64"/>
        <v>100.41606479288998</v>
      </c>
      <c r="AM38" s="3">
        <f t="shared" si="64"/>
        <v>113.47015321596567</v>
      </c>
      <c r="AN38" s="3">
        <f t="shared" si="64"/>
        <v>128.22127313404118</v>
      </c>
      <c r="AO38" s="3">
        <f t="shared" si="64"/>
        <v>144.89003864146653</v>
      </c>
      <c r="AP38" s="3">
        <f t="shared" si="64"/>
        <v>163.72574366485716</v>
      </c>
      <c r="AQ38" s="3">
        <f t="shared" si="64"/>
        <v>185.01009034128859</v>
      </c>
      <c r="AR38" s="3">
        <f t="shared" si="64"/>
        <v>209.06140208565608</v>
      </c>
    </row>
    <row r="39" spans="1:185" x14ac:dyDescent="0.25">
      <c r="A39" s="3"/>
      <c r="B39" s="5" t="s">
        <v>25</v>
      </c>
      <c r="C39" s="3">
        <v>15.64</v>
      </c>
      <c r="D39" s="3">
        <v>15.9</v>
      </c>
      <c r="E39" s="3">
        <v>12.14</v>
      </c>
      <c r="F39" s="3">
        <v>11.09</v>
      </c>
      <c r="G39" s="3">
        <v>11.2</v>
      </c>
      <c r="H39" s="3">
        <v>12.86</v>
      </c>
      <c r="I39" s="3">
        <v>16.64</v>
      </c>
      <c r="J39" s="3">
        <v>15.52</v>
      </c>
      <c r="K39" s="3">
        <v>15.08</v>
      </c>
      <c r="L39" s="3">
        <v>19.89</v>
      </c>
      <c r="M39" s="3">
        <v>23.04</v>
      </c>
      <c r="N39" s="3">
        <v>22.249500000000001</v>
      </c>
      <c r="O39" s="3">
        <v>19.100000000000001</v>
      </c>
      <c r="P39" s="3">
        <v>20.28</v>
      </c>
      <c r="Q39" s="3">
        <v>18.2347</v>
      </c>
      <c r="R39" s="3">
        <v>15.834</v>
      </c>
      <c r="S39" s="3">
        <f>O39*(1+S56)</f>
        <v>17.190000000000001</v>
      </c>
      <c r="T39" s="3">
        <f t="shared" ref="T39:V39" si="65">P39*(1+T56)</f>
        <v>18.252000000000002</v>
      </c>
      <c r="U39" s="3">
        <f t="shared" si="65"/>
        <v>16.41123</v>
      </c>
      <c r="V39" s="3">
        <f t="shared" si="65"/>
        <v>14.2506</v>
      </c>
      <c r="Z39" s="3">
        <v>17.28</v>
      </c>
      <c r="AA39" s="3">
        <v>31.3</v>
      </c>
      <c r="AB39" s="3">
        <v>44.05</v>
      </c>
      <c r="AC39" s="3">
        <v>68.378</v>
      </c>
      <c r="AD39" s="3">
        <v>88.27</v>
      </c>
      <c r="AE39" s="3">
        <v>81.19</v>
      </c>
      <c r="AF39" s="3">
        <v>57.26</v>
      </c>
      <c r="AG39" s="3">
        <v>80.739999999999995</v>
      </c>
      <c r="AH39" s="3">
        <f>SUM(O39:R39)</f>
        <v>73.448700000000002</v>
      </c>
      <c r="AI39" s="3">
        <f t="shared" si="63"/>
        <v>66.103830000000016</v>
      </c>
      <c r="AJ39" s="3">
        <f>AI39*(1+AJ56)</f>
        <v>74.036289600000032</v>
      </c>
      <c r="AK39" s="3">
        <f t="shared" ref="AK39:AR39" si="66">AJ39*(1+AK56)</f>
        <v>82.920644352000039</v>
      </c>
      <c r="AL39" s="3">
        <f t="shared" si="66"/>
        <v>92.871121674240058</v>
      </c>
      <c r="AM39" s="3">
        <f t="shared" si="66"/>
        <v>104.01565627514887</v>
      </c>
      <c r="AN39" s="3">
        <f t="shared" si="66"/>
        <v>116.49753502816675</v>
      </c>
      <c r="AO39" s="3">
        <f t="shared" si="66"/>
        <v>130.47723923154678</v>
      </c>
      <c r="AP39" s="3">
        <f t="shared" si="66"/>
        <v>146.13450793933239</v>
      </c>
      <c r="AQ39" s="3">
        <f t="shared" si="66"/>
        <v>163.6706488920523</v>
      </c>
      <c r="AR39" s="3">
        <f t="shared" si="66"/>
        <v>183.31112675909858</v>
      </c>
    </row>
    <row r="40" spans="1:185" x14ac:dyDescent="0.25">
      <c r="A40" s="3"/>
      <c r="B40" s="5" t="s">
        <v>26</v>
      </c>
      <c r="C40" s="3">
        <v>3.79</v>
      </c>
      <c r="D40" s="3">
        <v>3.7</v>
      </c>
      <c r="E40" s="3">
        <v>3.74</v>
      </c>
      <c r="F40" s="3">
        <v>4.49</v>
      </c>
      <c r="G40" s="3">
        <v>4.07</v>
      </c>
      <c r="H40" s="3">
        <v>3.8</v>
      </c>
      <c r="I40" s="3">
        <v>4.95</v>
      </c>
      <c r="J40" s="3">
        <v>5.55</v>
      </c>
      <c r="K40" s="3">
        <v>5.4</v>
      </c>
      <c r="L40" s="3">
        <v>5.3</v>
      </c>
      <c r="M40" s="3">
        <v>5.41</v>
      </c>
      <c r="N40" s="3">
        <v>6.3773999999999997</v>
      </c>
      <c r="O40" s="3">
        <v>6.63</v>
      </c>
      <c r="P40" s="3">
        <v>6.68</v>
      </c>
      <c r="Q40" s="3">
        <v>6.7923999999999998</v>
      </c>
      <c r="R40" s="3">
        <v>6.9858000000000002</v>
      </c>
      <c r="S40" s="3">
        <f>S34*S57</f>
        <v>10.149388999999999</v>
      </c>
      <c r="T40" s="3">
        <f>T34*T57</f>
        <v>10.683713749999999</v>
      </c>
      <c r="U40" s="3">
        <f>U34*U57</f>
        <v>11.176601250000001</v>
      </c>
      <c r="V40" s="3">
        <f>V34*V57</f>
        <v>12.888603000000002</v>
      </c>
      <c r="Z40" s="3">
        <v>45.91</v>
      </c>
      <c r="AA40" s="3">
        <v>51.52</v>
      </c>
      <c r="AB40" s="3">
        <v>50.83</v>
      </c>
      <c r="AC40" s="3">
        <v>36.14</v>
      </c>
      <c r="AD40" s="3">
        <v>29.12</v>
      </c>
      <c r="AE40" s="3">
        <v>29.86</v>
      </c>
      <c r="AF40" s="3">
        <v>18.38</v>
      </c>
      <c r="AG40" s="3">
        <v>22.5</v>
      </c>
      <c r="AH40" s="3">
        <f>SUM(O40:R40)</f>
        <v>27.088200000000001</v>
      </c>
      <c r="AI40" s="3">
        <f t="shared" si="63"/>
        <v>44.898307000000003</v>
      </c>
      <c r="AJ40" s="3">
        <f>AJ34*AJ57</f>
        <v>63.581035904961368</v>
      </c>
      <c r="AK40" s="3">
        <f t="shared" ref="AK40:AR40" si="67">AK34*AK57</f>
        <v>68.424268460250602</v>
      </c>
      <c r="AL40" s="3">
        <f t="shared" si="67"/>
        <v>77.889100541995617</v>
      </c>
      <c r="AM40" s="3">
        <f t="shared" si="67"/>
        <v>82.43837605396854</v>
      </c>
      <c r="AN40" s="3">
        <f t="shared" si="67"/>
        <v>77.763203719468876</v>
      </c>
      <c r="AO40" s="3">
        <f t="shared" si="67"/>
        <v>92.173322920258997</v>
      </c>
      <c r="AP40" s="3">
        <f t="shared" si="67"/>
        <v>101.37189832498377</v>
      </c>
      <c r="AQ40" s="3">
        <f t="shared" si="67"/>
        <v>108.21601233162033</v>
      </c>
      <c r="AR40" s="3">
        <f t="shared" si="67"/>
        <v>115.69186634200219</v>
      </c>
    </row>
    <row r="41" spans="1:185" x14ac:dyDescent="0.25">
      <c r="A41" s="3"/>
      <c r="B41" s="5" t="s">
        <v>27</v>
      </c>
      <c r="C41" s="3">
        <v>20.16</v>
      </c>
      <c r="D41" s="3">
        <v>38.74</v>
      </c>
      <c r="E41" s="3">
        <v>42.9</v>
      </c>
      <c r="F41" s="3">
        <v>44.78</v>
      </c>
      <c r="G41" s="3">
        <v>41.17</v>
      </c>
      <c r="H41" s="3">
        <v>50.05</v>
      </c>
      <c r="I41" s="3">
        <v>51.45</v>
      </c>
      <c r="J41" s="3">
        <v>64.16</v>
      </c>
      <c r="K41" s="3">
        <v>55.07</v>
      </c>
      <c r="L41" s="3">
        <v>65.95</v>
      </c>
      <c r="M41" s="3">
        <v>73.12</v>
      </c>
      <c r="N41" s="3">
        <v>114.455</v>
      </c>
      <c r="O41" s="3">
        <v>76.81</v>
      </c>
      <c r="P41" s="3">
        <v>81.62</v>
      </c>
      <c r="Q41" s="3">
        <v>81.8446</v>
      </c>
      <c r="R41" s="3">
        <v>106.71510000000001</v>
      </c>
      <c r="S41" s="3">
        <f>O41*(1+S58)</f>
        <v>80.650500000000008</v>
      </c>
      <c r="T41" s="3">
        <f t="shared" ref="T41:V41" si="68">P41*(1+T58)</f>
        <v>85.701000000000008</v>
      </c>
      <c r="U41" s="3">
        <f t="shared" si="68"/>
        <v>85.93683</v>
      </c>
      <c r="V41" s="3">
        <f t="shared" si="68"/>
        <v>112.05085500000001</v>
      </c>
      <c r="Z41" s="3">
        <v>205.55</v>
      </c>
      <c r="AA41" s="3">
        <v>313.58999999999997</v>
      </c>
      <c r="AB41" s="3">
        <v>368.37</v>
      </c>
      <c r="AC41" s="3">
        <v>396.69</v>
      </c>
      <c r="AD41" s="3">
        <v>342.12</v>
      </c>
      <c r="AE41" s="3">
        <v>236.01</v>
      </c>
      <c r="AF41" s="3">
        <v>209.59</v>
      </c>
      <c r="AG41" s="3">
        <v>309.63</v>
      </c>
      <c r="AH41" s="3">
        <f>SUM(O41:R41)</f>
        <v>346.98970000000003</v>
      </c>
      <c r="AI41" s="3">
        <f t="shared" si="63"/>
        <v>364.33918500000004</v>
      </c>
      <c r="AJ41" s="3">
        <f>AI41*(1+AJ58)</f>
        <v>400.7731035000001</v>
      </c>
      <c r="AK41" s="3">
        <f t="shared" ref="AK41:AR41" si="69">AJ41*(1+AK58)</f>
        <v>440.85041385000017</v>
      </c>
      <c r="AL41" s="3">
        <f t="shared" si="69"/>
        <v>484.93545523500023</v>
      </c>
      <c r="AM41" s="3">
        <f t="shared" si="69"/>
        <v>557.67577352025023</v>
      </c>
      <c r="AN41" s="3">
        <f t="shared" si="69"/>
        <v>624.5968663426803</v>
      </c>
      <c r="AO41" s="3">
        <f t="shared" si="69"/>
        <v>687.05655297694841</v>
      </c>
      <c r="AP41" s="3">
        <f t="shared" si="69"/>
        <v>755.76220827464329</v>
      </c>
      <c r="AQ41" s="3">
        <f t="shared" si="69"/>
        <v>831.33842910210763</v>
      </c>
      <c r="AR41" s="3">
        <f t="shared" si="69"/>
        <v>914.47227201231851</v>
      </c>
    </row>
    <row r="42" spans="1:185" x14ac:dyDescent="0.25">
      <c r="A42" s="3"/>
      <c r="B42" s="6" t="s">
        <v>28</v>
      </c>
      <c r="C42" s="9">
        <f>SUM(C37:C41)</f>
        <v>43.04</v>
      </c>
      <c r="D42" s="9">
        <f>SUM(D37:D41)</f>
        <v>82.69</v>
      </c>
      <c r="E42" s="9">
        <f t="shared" ref="E42:G42" si="70">SUM(E37:E41)</f>
        <v>67.61</v>
      </c>
      <c r="F42" s="9">
        <f t="shared" si="70"/>
        <v>65.900000000000006</v>
      </c>
      <c r="G42" s="9">
        <f t="shared" si="70"/>
        <v>81.150000000000006</v>
      </c>
      <c r="H42" s="9">
        <f t="shared" ref="H42:I42" si="71">SUM(H37:H41)</f>
        <v>86.31</v>
      </c>
      <c r="I42" s="9">
        <f t="shared" si="71"/>
        <v>77.260000000000005</v>
      </c>
      <c r="J42" s="9">
        <f t="shared" ref="J42:L42" si="72">SUM(J37:J41)</f>
        <v>91.84</v>
      </c>
      <c r="K42" s="9">
        <f t="shared" si="72"/>
        <v>48.63</v>
      </c>
      <c r="L42" s="9">
        <f t="shared" si="72"/>
        <v>109.48</v>
      </c>
      <c r="M42" s="9">
        <f t="shared" ref="M42:O42" si="73">SUM(M37:M41)</f>
        <v>140.80000000000001</v>
      </c>
      <c r="N42" s="9">
        <f t="shared" si="73"/>
        <v>154.39400000000001</v>
      </c>
      <c r="O42" s="9">
        <f t="shared" si="73"/>
        <v>103.66</v>
      </c>
      <c r="P42" s="9">
        <f t="shared" ref="P42:Q42" si="74">SUM(P37:P41)</f>
        <v>167.66</v>
      </c>
      <c r="Q42" s="9">
        <f t="shared" si="74"/>
        <v>130.35079999999999</v>
      </c>
      <c r="R42" s="9">
        <f>SUM(R37:R41)</f>
        <v>148.47579999999999</v>
      </c>
      <c r="S42" s="9">
        <f t="shared" ref="S42:V42" si="75">SUM(S37:S41)</f>
        <v>127.45092025000001</v>
      </c>
      <c r="T42" s="9">
        <f t="shared" si="75"/>
        <v>135.64124500000003</v>
      </c>
      <c r="U42" s="9">
        <f t="shared" si="75"/>
        <v>132.21541250000001</v>
      </c>
      <c r="V42" s="9">
        <f t="shared" si="75"/>
        <v>161.11123925000001</v>
      </c>
      <c r="Z42" s="9">
        <f>SUM(Z37:Z41)</f>
        <v>448.89</v>
      </c>
      <c r="AA42" s="9">
        <f>SUM(AA37:AA41)</f>
        <v>798.73</v>
      </c>
      <c r="AB42" s="9">
        <f t="shared" ref="AB42:AC42" si="76">SUM(AB37:AB41)</f>
        <v>770.66</v>
      </c>
      <c r="AC42" s="9">
        <f t="shared" si="76"/>
        <v>682.75800000000004</v>
      </c>
      <c r="AD42" s="9">
        <f>SUM(AD37:AD41)</f>
        <v>570.48</v>
      </c>
      <c r="AE42" s="9">
        <f>SUM(AE37:AE41)</f>
        <v>505.38</v>
      </c>
      <c r="AF42" s="9">
        <f t="shared" ref="AF42:AH42" si="77">SUM(AF37:AF41)</f>
        <v>340.97</v>
      </c>
      <c r="AG42" s="9">
        <f t="shared" si="77"/>
        <v>454.03</v>
      </c>
      <c r="AH42" s="9">
        <f t="shared" si="77"/>
        <v>550.14660000000003</v>
      </c>
      <c r="AI42" s="9">
        <f t="shared" ref="AI42" si="78">SUM(AI37:AI41)</f>
        <v>556.41881699999999</v>
      </c>
      <c r="AJ42" s="9">
        <f t="shared" ref="AJ42" si="79">SUM(AJ37:AJ41)</f>
        <v>615.13988210496154</v>
      </c>
      <c r="AK42" s="9">
        <f t="shared" ref="AK42" si="80">SUM(AK37:AK41)</f>
        <v>679.16804581525082</v>
      </c>
      <c r="AL42" s="9">
        <f t="shared" ref="AL42" si="81">SUM(AL37:AL41)</f>
        <v>754.22068724412588</v>
      </c>
      <c r="AM42" s="9">
        <f t="shared" ref="AM42" si="82">SUM(AM37:AM41)</f>
        <v>855.70890406533329</v>
      </c>
      <c r="AN42" s="9">
        <f t="shared" ref="AN42" si="83">SUM(AN37:AN41)</f>
        <v>945.18782322435709</v>
      </c>
      <c r="AO42" s="9">
        <f t="shared" ref="AO42" si="84">SUM(AO37:AO41)</f>
        <v>1052.7060987702207</v>
      </c>
      <c r="AP42" s="9">
        <f t="shared" ref="AP42" si="85">SUM(AP37:AP41)</f>
        <v>1165.1033032038167</v>
      </c>
      <c r="AQ42" s="9">
        <f t="shared" ref="AQ42" si="86">SUM(AQ37:AQ41)</f>
        <v>1286.344125667069</v>
      </c>
      <c r="AR42" s="9">
        <f t="shared" ref="AR42" si="87">SUM(AR37:AR41)</f>
        <v>1420.6456121990755</v>
      </c>
    </row>
    <row r="43" spans="1:185" x14ac:dyDescent="0.25">
      <c r="A43" s="3"/>
      <c r="B43" s="6" t="s">
        <v>29</v>
      </c>
      <c r="C43" s="9">
        <f>C36-C42</f>
        <v>-4.4699999999999918</v>
      </c>
      <c r="D43" s="9">
        <f>D36-D42</f>
        <v>19.3108</v>
      </c>
      <c r="E43" s="9">
        <f t="shared" ref="E43:G43" si="88">E36-E42</f>
        <v>24.739999999999966</v>
      </c>
      <c r="F43" s="9">
        <f t="shared" si="88"/>
        <v>20.55000000000004</v>
      </c>
      <c r="G43" s="9">
        <f t="shared" si="88"/>
        <v>28.253199999999936</v>
      </c>
      <c r="H43" s="9">
        <f t="shared" ref="H43:I43" si="89">H36-H42</f>
        <v>25.870000000000005</v>
      </c>
      <c r="I43" s="9">
        <f t="shared" si="89"/>
        <v>25.817099999999968</v>
      </c>
      <c r="J43" s="9">
        <f t="shared" ref="J43:L43" si="90">J36-J42</f>
        <v>27.304599999999965</v>
      </c>
      <c r="K43" s="9">
        <f t="shared" si="90"/>
        <v>28.350000000000016</v>
      </c>
      <c r="L43" s="9">
        <f t="shared" si="90"/>
        <v>46.134500000000074</v>
      </c>
      <c r="M43" s="9">
        <f t="shared" ref="M43:O43" si="91">M36-M42</f>
        <v>54.672800000000109</v>
      </c>
      <c r="N43" s="9">
        <f t="shared" si="91"/>
        <v>75.171500000000037</v>
      </c>
      <c r="O43" s="9">
        <f t="shared" si="91"/>
        <v>90.109699999999947</v>
      </c>
      <c r="P43" s="9">
        <f t="shared" ref="P43:Q43" si="92">P36-P42</f>
        <v>94.93169999999995</v>
      </c>
      <c r="Q43" s="9">
        <f t="shared" si="92"/>
        <v>100.11149999999992</v>
      </c>
      <c r="R43" s="9">
        <f>R36-R42</f>
        <v>111.99729999999994</v>
      </c>
      <c r="S43" s="9">
        <f t="shared" ref="S43:V43" si="93">S36-S42</f>
        <v>116.13441574999997</v>
      </c>
      <c r="T43" s="9">
        <f t="shared" si="93"/>
        <v>120.76788499999998</v>
      </c>
      <c r="U43" s="9">
        <f t="shared" si="93"/>
        <v>136.02301749999998</v>
      </c>
      <c r="V43" s="9">
        <f t="shared" si="93"/>
        <v>148.21523275000001</v>
      </c>
      <c r="Z43" s="9">
        <f>Z36-Z42</f>
        <v>8.0600000000000591</v>
      </c>
      <c r="AA43" s="9">
        <f>AA36-AA42</f>
        <v>54.269999999999982</v>
      </c>
      <c r="AB43" s="9">
        <f t="shared" ref="AB43:AC43" si="94">AB36-AB42</f>
        <v>-161.73000000000002</v>
      </c>
      <c r="AC43" s="9">
        <f t="shared" si="94"/>
        <v>-17.128000000000156</v>
      </c>
      <c r="AD43" s="9">
        <f>AD36-AD42</f>
        <v>37.569999999999936</v>
      </c>
      <c r="AE43" s="9">
        <f>AE36-AE42</f>
        <v>-5.5600000000000591</v>
      </c>
      <c r="AF43" s="9">
        <f t="shared" ref="AF43:AH43" si="95">AF36-AF42</f>
        <v>107</v>
      </c>
      <c r="AG43" s="9">
        <f t="shared" si="95"/>
        <v>202.84039999999982</v>
      </c>
      <c r="AH43" s="9">
        <f t="shared" si="95"/>
        <v>397.1502000000005</v>
      </c>
      <c r="AI43" s="9">
        <f t="shared" ref="AI43" si="96">AI36-AI42</f>
        <v>521.14055099999996</v>
      </c>
      <c r="AJ43" s="9">
        <f t="shared" ref="AJ43" si="97">AJ36-AJ42</f>
        <v>910.80497961411106</v>
      </c>
      <c r="AK43" s="9">
        <f t="shared" ref="AK43" si="98">AK36-AK42</f>
        <v>1031.4386656910142</v>
      </c>
      <c r="AL43" s="9">
        <f t="shared" ref="AL43" si="99">AL36-AL42</f>
        <v>1193.0068263057644</v>
      </c>
      <c r="AM43" s="9">
        <f t="shared" ref="AM43" si="100">AM36-AM42</f>
        <v>1287.6888733378487</v>
      </c>
      <c r="AN43" s="9">
        <f t="shared" ref="AN43" si="101">AN36-AN42</f>
        <v>1154.4186772013027</v>
      </c>
      <c r="AO43" s="9">
        <f t="shared" ref="AO43" si="102">AO36-AO42</f>
        <v>1528.1469429970316</v>
      </c>
      <c r="AP43" s="9">
        <f t="shared" ref="AP43" si="103">AP36-AP42</f>
        <v>1774.6817482207125</v>
      </c>
      <c r="AQ43" s="9">
        <f t="shared" ref="AQ43" si="104">AQ36-AQ42</f>
        <v>1851.9202319499204</v>
      </c>
      <c r="AR43" s="9">
        <f t="shared" ref="AR43" si="105">AR36-AR42</f>
        <v>2050.1103780609897</v>
      </c>
    </row>
    <row r="44" spans="1:185" x14ac:dyDescent="0.25">
      <c r="A44" s="3"/>
      <c r="B44" s="5" t="s">
        <v>134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3">
        <v>0</v>
      </c>
      <c r="T44" s="3">
        <v>0</v>
      </c>
      <c r="U44" s="3">
        <v>0</v>
      </c>
      <c r="V44" s="3">
        <v>0</v>
      </c>
      <c r="Z44" s="3">
        <v>0</v>
      </c>
      <c r="AA44" s="3">
        <v>0.05</v>
      </c>
      <c r="AB44" s="3">
        <v>0.32</v>
      </c>
      <c r="AC44" s="3">
        <v>0.03</v>
      </c>
      <c r="AD44" s="3">
        <v>-0.1</v>
      </c>
      <c r="AE44" s="3">
        <v>0</v>
      </c>
      <c r="AF44" s="3">
        <v>0</v>
      </c>
      <c r="AG44" s="3">
        <v>-12.72</v>
      </c>
      <c r="AH44" s="3">
        <v>0</v>
      </c>
      <c r="AI44" s="3">
        <f>SUM(S44:V44)</f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</row>
    <row r="45" spans="1:185" x14ac:dyDescent="0.25">
      <c r="A45" s="3"/>
      <c r="B45" s="5" t="s">
        <v>30</v>
      </c>
      <c r="C45" s="3">
        <v>0</v>
      </c>
      <c r="D45" s="3">
        <v>0</v>
      </c>
      <c r="E45" s="3">
        <v>-4.34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46.27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Z45" s="3">
        <v>20.85</v>
      </c>
      <c r="AA45" s="3">
        <v>4.49</v>
      </c>
      <c r="AB45" s="3">
        <v>5.09</v>
      </c>
      <c r="AC45" s="3">
        <v>38.32</v>
      </c>
      <c r="AD45" s="3">
        <v>0</v>
      </c>
      <c r="AE45" s="3">
        <v>0</v>
      </c>
      <c r="AF45" s="3">
        <f>SUM(G45:J45)</f>
        <v>0</v>
      </c>
      <c r="AG45" s="3">
        <v>0</v>
      </c>
      <c r="AH45" s="3">
        <f>SUM(O45:R45)</f>
        <v>0</v>
      </c>
      <c r="AI45" s="3">
        <f>SUM(S45:V45)</f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</row>
    <row r="46" spans="1:185" x14ac:dyDescent="0.25">
      <c r="A46" s="3"/>
      <c r="B46" s="6" t="s">
        <v>31</v>
      </c>
      <c r="C46" s="9">
        <f>C43-C45</f>
        <v>-4.4699999999999918</v>
      </c>
      <c r="D46" s="9">
        <f t="shared" ref="D46" si="106">D43-D45</f>
        <v>19.3108</v>
      </c>
      <c r="E46" s="9">
        <f>E43-E45</f>
        <v>29.079999999999966</v>
      </c>
      <c r="F46" s="9">
        <f t="shared" ref="F46:G46" si="107">F43-F45</f>
        <v>20.55000000000004</v>
      </c>
      <c r="G46" s="9">
        <f t="shared" si="107"/>
        <v>28.253199999999936</v>
      </c>
      <c r="H46" s="9">
        <f t="shared" ref="H46" si="108">H43-H45</f>
        <v>25.870000000000005</v>
      </c>
      <c r="I46" s="9">
        <f>I43-I45</f>
        <v>25.817099999999968</v>
      </c>
      <c r="J46" s="9">
        <f t="shared" ref="J46:K46" si="109">J43-J45</f>
        <v>27.304599999999965</v>
      </c>
      <c r="K46" s="9">
        <f t="shared" si="109"/>
        <v>28.350000000000016</v>
      </c>
      <c r="L46" s="9">
        <f>L43-L45</f>
        <v>-0.13549999999992934</v>
      </c>
      <c r="M46" s="9">
        <f t="shared" ref="M46:V46" si="110">M43-M45</f>
        <v>54.672800000000109</v>
      </c>
      <c r="N46" s="9">
        <f t="shared" si="110"/>
        <v>75.171500000000037</v>
      </c>
      <c r="O46" s="9">
        <f t="shared" si="110"/>
        <v>90.109699999999947</v>
      </c>
      <c r="P46" s="9">
        <f t="shared" si="110"/>
        <v>94.93169999999995</v>
      </c>
      <c r="Q46" s="9">
        <f t="shared" si="110"/>
        <v>100.11149999999992</v>
      </c>
      <c r="R46" s="9">
        <f t="shared" si="110"/>
        <v>111.99729999999994</v>
      </c>
      <c r="S46" s="9">
        <f t="shared" si="110"/>
        <v>116.13441574999997</v>
      </c>
      <c r="T46" s="9">
        <f t="shared" si="110"/>
        <v>120.76788499999998</v>
      </c>
      <c r="U46" s="9">
        <f t="shared" si="110"/>
        <v>136.02301749999998</v>
      </c>
      <c r="V46" s="9">
        <f t="shared" si="110"/>
        <v>148.21523275000001</v>
      </c>
      <c r="Z46" s="9">
        <f>Z43+Z44-Z45</f>
        <v>-12.789999999999942</v>
      </c>
      <c r="AA46" s="9">
        <f>AA43+AA44-AA45</f>
        <v>49.829999999999977</v>
      </c>
      <c r="AB46" s="9">
        <f t="shared" ref="AB46:AC46" si="111">AB43+AB44-AB45</f>
        <v>-166.50000000000003</v>
      </c>
      <c r="AC46" s="9">
        <f t="shared" si="111"/>
        <v>-55.418000000000156</v>
      </c>
      <c r="AD46" s="9">
        <f>AD43+AD44-AD45</f>
        <v>37.469999999999935</v>
      </c>
      <c r="AE46" s="9">
        <f>AE43-AE45</f>
        <v>-5.5600000000000591</v>
      </c>
      <c r="AF46" s="9">
        <f t="shared" ref="AF46:AH46" si="112">AF43-AF45</f>
        <v>107</v>
      </c>
      <c r="AG46" s="9">
        <f>AG43+AG44</f>
        <v>190.12039999999982</v>
      </c>
      <c r="AH46" s="9">
        <f t="shared" si="112"/>
        <v>397.1502000000005</v>
      </c>
      <c r="AI46" s="9">
        <f t="shared" ref="AI46" si="113">AI43-AI45</f>
        <v>521.14055099999996</v>
      </c>
      <c r="AJ46" s="9">
        <f t="shared" ref="AJ46" si="114">AJ43-AJ45</f>
        <v>910.80497961411106</v>
      </c>
      <c r="AK46" s="9">
        <f t="shared" ref="AK46" si="115">AK43-AK45</f>
        <v>1031.4386656910142</v>
      </c>
      <c r="AL46" s="9">
        <f t="shared" ref="AL46" si="116">AL43-AL45</f>
        <v>1193.0068263057644</v>
      </c>
      <c r="AM46" s="9">
        <f t="shared" ref="AM46" si="117">AM43-AM45</f>
        <v>1287.6888733378487</v>
      </c>
      <c r="AN46" s="9">
        <f t="shared" ref="AN46" si="118">AN43-AN45</f>
        <v>1154.4186772013027</v>
      </c>
      <c r="AO46" s="9">
        <f t="shared" ref="AO46" si="119">AO43-AO45</f>
        <v>1528.1469429970316</v>
      </c>
      <c r="AP46" s="9">
        <f t="shared" ref="AP46" si="120">AP43-AP45</f>
        <v>1774.6817482207125</v>
      </c>
      <c r="AQ46" s="9">
        <f t="shared" ref="AQ46" si="121">AQ43-AQ45</f>
        <v>1851.9202319499204</v>
      </c>
      <c r="AR46" s="9">
        <f t="shared" ref="AR46" si="122">AR43-AR45</f>
        <v>2050.1103780609897</v>
      </c>
    </row>
    <row r="47" spans="1:185" x14ac:dyDescent="0.25">
      <c r="A47" s="3"/>
      <c r="B47" s="5" t="s">
        <v>32</v>
      </c>
      <c r="C47" s="3">
        <v>-1.43</v>
      </c>
      <c r="D47" s="3">
        <v>5.36</v>
      </c>
      <c r="E47" s="3">
        <v>6.88</v>
      </c>
      <c r="F47" s="3">
        <v>3.4</v>
      </c>
      <c r="G47" s="3">
        <v>7.59</v>
      </c>
      <c r="H47" s="3">
        <v>7</v>
      </c>
      <c r="I47" s="3">
        <v>7.28</v>
      </c>
      <c r="J47" s="3">
        <v>6.25</v>
      </c>
      <c r="K47" s="3">
        <v>5.73</v>
      </c>
      <c r="L47" s="3">
        <v>11.7</v>
      </c>
      <c r="M47" s="3">
        <v>15.87</v>
      </c>
      <c r="N47" s="3">
        <v>22.1615</v>
      </c>
      <c r="O47" s="3">
        <v>22.47</v>
      </c>
      <c r="P47" s="3">
        <v>23.99</v>
      </c>
      <c r="Q47" s="3">
        <v>25.085999999999999</v>
      </c>
      <c r="R47" s="3">
        <v>28.582699999999999</v>
      </c>
      <c r="S47" s="3">
        <f>S54*S46</f>
        <v>29.033603937499993</v>
      </c>
      <c r="T47" s="3">
        <f t="shared" ref="T47:V47" si="123">T54*T46</f>
        <v>30.191971249999995</v>
      </c>
      <c r="U47" s="3">
        <f t="shared" si="123"/>
        <v>34.005754374999995</v>
      </c>
      <c r="V47" s="3">
        <f t="shared" si="123"/>
        <v>37.053808187500003</v>
      </c>
      <c r="Z47" s="3">
        <v>6.71</v>
      </c>
      <c r="AA47" s="3">
        <v>22.26</v>
      </c>
      <c r="AB47" s="3">
        <v>-19.940000000000001</v>
      </c>
      <c r="AC47" s="3">
        <v>-32.96</v>
      </c>
      <c r="AD47" s="3">
        <v>-20.5</v>
      </c>
      <c r="AE47" s="9">
        <v>13.2</v>
      </c>
      <c r="AF47" s="3">
        <v>29.19</v>
      </c>
      <c r="AG47" s="3">
        <v>55.46</v>
      </c>
      <c r="AH47" s="3">
        <f>SUM(O47:R47)</f>
        <v>100.12869999999999</v>
      </c>
      <c r="AI47" s="3">
        <f>SUM(S47:V47)</f>
        <v>130.28513774999999</v>
      </c>
      <c r="AJ47" s="3">
        <f>AJ46*AJ54</f>
        <v>227.70124490352777</v>
      </c>
      <c r="AK47" s="3">
        <f t="shared" ref="AK47:AR47" si="124">AK46*AK54</f>
        <v>257.85966642275355</v>
      </c>
      <c r="AL47" s="3">
        <f t="shared" si="124"/>
        <v>298.25170657644111</v>
      </c>
      <c r="AM47" s="3">
        <f t="shared" si="124"/>
        <v>321.92221833446217</v>
      </c>
      <c r="AN47" s="3">
        <f t="shared" si="124"/>
        <v>288.60466930032567</v>
      </c>
      <c r="AO47" s="3">
        <f t="shared" si="124"/>
        <v>382.0367357492579</v>
      </c>
      <c r="AP47" s="3">
        <f t="shared" si="124"/>
        <v>443.67043705517813</v>
      </c>
      <c r="AQ47" s="3">
        <f t="shared" si="124"/>
        <v>462.98005798748011</v>
      </c>
      <c r="AR47" s="3">
        <f t="shared" si="124"/>
        <v>512.52759451524742</v>
      </c>
    </row>
    <row r="48" spans="1:185" x14ac:dyDescent="0.25">
      <c r="A48" s="3"/>
      <c r="B48" s="7" t="s">
        <v>33</v>
      </c>
      <c r="C48" s="10">
        <f>C46-C47</f>
        <v>-3.039999999999992</v>
      </c>
      <c r="D48" s="10">
        <f>D46-D47</f>
        <v>13.950800000000001</v>
      </c>
      <c r="E48" s="10">
        <f t="shared" ref="E48:G48" si="125">E46-E47</f>
        <v>22.199999999999967</v>
      </c>
      <c r="F48" s="10">
        <f t="shared" si="125"/>
        <v>17.150000000000041</v>
      </c>
      <c r="G48" s="10">
        <f t="shared" si="125"/>
        <v>20.663199999999936</v>
      </c>
      <c r="H48" s="10">
        <f t="shared" ref="H48:I48" si="126">H46-H47</f>
        <v>18.870000000000005</v>
      </c>
      <c r="I48" s="10">
        <f t="shared" si="126"/>
        <v>18.537099999999967</v>
      </c>
      <c r="J48" s="10">
        <f t="shared" ref="J48:L48" si="127">J46-J47</f>
        <v>21.054599999999965</v>
      </c>
      <c r="K48" s="10">
        <f t="shared" si="127"/>
        <v>22.620000000000015</v>
      </c>
      <c r="L48" s="10">
        <f t="shared" si="127"/>
        <v>-11.835499999999929</v>
      </c>
      <c r="M48" s="10">
        <f t="shared" ref="M48:O48" si="128">M46-M47</f>
        <v>38.802800000000111</v>
      </c>
      <c r="N48" s="10">
        <f t="shared" si="128"/>
        <v>53.010000000000034</v>
      </c>
      <c r="O48" s="10">
        <f t="shared" si="128"/>
        <v>67.639699999999948</v>
      </c>
      <c r="P48" s="10">
        <f t="shared" ref="P48:Q48" si="129">P46-P47</f>
        <v>70.941699999999955</v>
      </c>
      <c r="Q48" s="10">
        <f t="shared" si="129"/>
        <v>75.025499999999923</v>
      </c>
      <c r="R48" s="10">
        <f>R46-R47</f>
        <v>83.414599999999936</v>
      </c>
      <c r="S48" s="10">
        <f t="shared" ref="S48:V48" si="130">S46-S47</f>
        <v>87.100811812499984</v>
      </c>
      <c r="T48" s="10">
        <f t="shared" si="130"/>
        <v>90.575913749999984</v>
      </c>
      <c r="U48" s="10">
        <f t="shared" si="130"/>
        <v>102.01726312499999</v>
      </c>
      <c r="V48" s="10">
        <f t="shared" si="130"/>
        <v>111.1614245625</v>
      </c>
      <c r="Z48" s="10">
        <f>Z46-Z47</f>
        <v>-19.499999999999943</v>
      </c>
      <c r="AA48" s="10">
        <f>AA46-AA47</f>
        <v>27.569999999999975</v>
      </c>
      <c r="AB48" s="10">
        <f t="shared" ref="AB48:AC48" si="131">AB46-AB47</f>
        <v>-146.56000000000003</v>
      </c>
      <c r="AC48" s="10">
        <f t="shared" si="131"/>
        <v>-22.458000000000155</v>
      </c>
      <c r="AD48" s="10">
        <f>AD46-AD47</f>
        <v>57.969999999999935</v>
      </c>
      <c r="AE48" s="10">
        <f>AE46-AE47</f>
        <v>-18.760000000000058</v>
      </c>
      <c r="AF48" s="10">
        <f t="shared" ref="AF48:AH48" si="132">AF46-AF47</f>
        <v>77.81</v>
      </c>
      <c r="AG48" s="10">
        <f t="shared" si="132"/>
        <v>134.66039999999981</v>
      </c>
      <c r="AH48" s="10">
        <f t="shared" si="132"/>
        <v>297.02150000000051</v>
      </c>
      <c r="AI48" s="10">
        <f t="shared" ref="AI48" si="133">AI46-AI47</f>
        <v>390.85541324999997</v>
      </c>
      <c r="AJ48" s="10">
        <f t="shared" ref="AJ48" si="134">AJ46-AJ47</f>
        <v>683.10373471058324</v>
      </c>
      <c r="AK48" s="10">
        <f t="shared" ref="AK48" si="135">AK46-AK47</f>
        <v>773.57899926826065</v>
      </c>
      <c r="AL48" s="10">
        <f t="shared" ref="AL48" si="136">AL46-AL47</f>
        <v>894.75511972932327</v>
      </c>
      <c r="AM48" s="10">
        <f t="shared" ref="AM48" si="137">AM46-AM47</f>
        <v>965.76665500338652</v>
      </c>
      <c r="AN48" s="10">
        <f t="shared" ref="AN48" si="138">AN46-AN47</f>
        <v>865.814007900977</v>
      </c>
      <c r="AO48" s="10">
        <f t="shared" ref="AO48" si="139">AO46-AO47</f>
        <v>1146.1102072477738</v>
      </c>
      <c r="AP48" s="10">
        <f t="shared" ref="AP48" si="140">AP46-AP47</f>
        <v>1331.0113111655344</v>
      </c>
      <c r="AQ48" s="10">
        <f t="shared" ref="AQ48" si="141">AQ46-AQ47</f>
        <v>1388.9401739624404</v>
      </c>
      <c r="AR48" s="10">
        <f t="shared" ref="AR48" si="142">AR46-AR47</f>
        <v>1537.5827835457421</v>
      </c>
      <c r="AS48" s="10">
        <f>AR48*(1+$AV$55)</f>
        <v>1583.7102670521144</v>
      </c>
      <c r="AT48" s="10">
        <f t="shared" ref="AT48:DE48" si="143">AS48*(1+$AV$55)</f>
        <v>1631.2215750636778</v>
      </c>
      <c r="AU48" s="10">
        <f t="shared" si="143"/>
        <v>1680.1582223155883</v>
      </c>
      <c r="AV48" s="10">
        <f t="shared" si="143"/>
        <v>1730.5629689850559</v>
      </c>
      <c r="AW48" s="10">
        <f t="shared" si="143"/>
        <v>1782.4798580546076</v>
      </c>
      <c r="AX48" s="10">
        <f t="shared" si="143"/>
        <v>1835.9542537962459</v>
      </c>
      <c r="AY48" s="10">
        <f t="shared" si="143"/>
        <v>1891.0328814101333</v>
      </c>
      <c r="AZ48" s="10">
        <f t="shared" si="143"/>
        <v>1947.7638678524374</v>
      </c>
      <c r="BA48" s="10">
        <f t="shared" si="143"/>
        <v>2006.1967838880107</v>
      </c>
      <c r="BB48" s="10">
        <f t="shared" si="143"/>
        <v>2066.3826874046513</v>
      </c>
      <c r="BC48" s="10">
        <f t="shared" si="143"/>
        <v>2128.3741680267908</v>
      </c>
      <c r="BD48" s="10">
        <f t="shared" si="143"/>
        <v>2192.2253930675947</v>
      </c>
      <c r="BE48" s="10">
        <f t="shared" si="143"/>
        <v>2257.9921548596226</v>
      </c>
      <c r="BF48" s="10">
        <f t="shared" si="143"/>
        <v>2325.7319195054115</v>
      </c>
      <c r="BG48" s="10">
        <f t="shared" si="143"/>
        <v>2395.503877090574</v>
      </c>
      <c r="BH48" s="10">
        <f t="shared" si="143"/>
        <v>2467.3689934032914</v>
      </c>
      <c r="BI48" s="10">
        <f t="shared" si="143"/>
        <v>2541.3900632053901</v>
      </c>
      <c r="BJ48" s="10">
        <f t="shared" si="143"/>
        <v>2617.631765101552</v>
      </c>
      <c r="BK48" s="10">
        <f t="shared" si="143"/>
        <v>2696.1607180545984</v>
      </c>
      <c r="BL48" s="10">
        <f t="shared" si="143"/>
        <v>2777.0455395962363</v>
      </c>
      <c r="BM48" s="10">
        <f t="shared" si="143"/>
        <v>2860.3569057841232</v>
      </c>
      <c r="BN48" s="10">
        <f t="shared" si="143"/>
        <v>2946.1676129576472</v>
      </c>
      <c r="BO48" s="10">
        <f t="shared" si="143"/>
        <v>3034.5526413463767</v>
      </c>
      <c r="BP48" s="10">
        <f t="shared" si="143"/>
        <v>3125.5892205867681</v>
      </c>
      <c r="BQ48" s="10">
        <f t="shared" si="143"/>
        <v>3219.3568972043713</v>
      </c>
      <c r="BR48" s="10">
        <f t="shared" si="143"/>
        <v>3315.9376041205023</v>
      </c>
      <c r="BS48" s="10">
        <f t="shared" si="143"/>
        <v>3415.4157322441174</v>
      </c>
      <c r="BT48" s="10">
        <f t="shared" si="143"/>
        <v>3517.8782042114412</v>
      </c>
      <c r="BU48" s="10">
        <f t="shared" si="143"/>
        <v>3623.4145503377845</v>
      </c>
      <c r="BV48" s="10">
        <f t="shared" si="143"/>
        <v>3732.1169868479183</v>
      </c>
      <c r="BW48" s="10">
        <f t="shared" si="143"/>
        <v>3844.0804964533559</v>
      </c>
      <c r="BX48" s="10">
        <f t="shared" si="143"/>
        <v>3959.4029113469564</v>
      </c>
      <c r="BY48" s="10">
        <f t="shared" si="143"/>
        <v>4078.1849986873654</v>
      </c>
      <c r="BZ48" s="10">
        <f t="shared" si="143"/>
        <v>4200.5305486479865</v>
      </c>
      <c r="CA48" s="10">
        <f t="shared" si="143"/>
        <v>4326.5464651074262</v>
      </c>
      <c r="CB48" s="10">
        <f t="shared" si="143"/>
        <v>4456.3428590606491</v>
      </c>
      <c r="CC48" s="10">
        <f t="shared" si="143"/>
        <v>4590.0331448324687</v>
      </c>
      <c r="CD48" s="10">
        <f t="shared" si="143"/>
        <v>4727.7341391774426</v>
      </c>
      <c r="CE48" s="10">
        <f t="shared" si="143"/>
        <v>4869.5661633527661</v>
      </c>
      <c r="CF48" s="10">
        <f t="shared" si="143"/>
        <v>5015.6531482533492</v>
      </c>
      <c r="CG48" s="10">
        <f t="shared" si="143"/>
        <v>5166.1227427009499</v>
      </c>
      <c r="CH48" s="10">
        <f t="shared" si="143"/>
        <v>5321.1064249819783</v>
      </c>
      <c r="CI48" s="10">
        <f t="shared" si="143"/>
        <v>5480.7396177314376</v>
      </c>
      <c r="CJ48" s="10">
        <f t="shared" si="143"/>
        <v>5645.1618062633806</v>
      </c>
      <c r="CK48" s="10">
        <f t="shared" si="143"/>
        <v>5814.5166604512824</v>
      </c>
      <c r="CL48" s="10">
        <f t="shared" si="143"/>
        <v>5988.952160264821</v>
      </c>
      <c r="CM48" s="10">
        <f t="shared" si="143"/>
        <v>6168.6207250727657</v>
      </c>
      <c r="CN48" s="10">
        <f t="shared" si="143"/>
        <v>6353.6793468249489</v>
      </c>
      <c r="CO48" s="10">
        <f t="shared" si="143"/>
        <v>6544.2897272296977</v>
      </c>
      <c r="CP48" s="10">
        <f t="shared" si="143"/>
        <v>6740.6184190465892</v>
      </c>
      <c r="CQ48" s="10">
        <f t="shared" si="143"/>
        <v>6942.8369716179868</v>
      </c>
      <c r="CR48" s="10">
        <f t="shared" si="143"/>
        <v>7151.1220807665268</v>
      </c>
      <c r="CS48" s="10">
        <f t="shared" si="143"/>
        <v>7365.6557431895226</v>
      </c>
      <c r="CT48" s="10">
        <f t="shared" si="143"/>
        <v>7586.6254154852086</v>
      </c>
      <c r="CU48" s="10">
        <f t="shared" si="143"/>
        <v>7814.2241779497654</v>
      </c>
      <c r="CV48" s="10">
        <f t="shared" si="143"/>
        <v>8048.6509032882586</v>
      </c>
      <c r="CW48" s="10">
        <f t="shared" si="143"/>
        <v>8290.110430386907</v>
      </c>
      <c r="CX48" s="10">
        <f t="shared" si="143"/>
        <v>8538.813743298515</v>
      </c>
      <c r="CY48" s="10">
        <f t="shared" si="143"/>
        <v>8794.9781555974714</v>
      </c>
      <c r="CZ48" s="10">
        <f t="shared" si="143"/>
        <v>9058.8275002653954</v>
      </c>
      <c r="DA48" s="10">
        <f t="shared" si="143"/>
        <v>9330.5923252733573</v>
      </c>
      <c r="DB48" s="10">
        <f t="shared" si="143"/>
        <v>9610.5100950315591</v>
      </c>
      <c r="DC48" s="10">
        <f t="shared" si="143"/>
        <v>9898.8253978825069</v>
      </c>
      <c r="DD48" s="10">
        <f t="shared" si="143"/>
        <v>10195.790159818982</v>
      </c>
      <c r="DE48" s="10">
        <f t="shared" si="143"/>
        <v>10501.663864613553</v>
      </c>
      <c r="DF48" s="10">
        <f t="shared" ref="DF48:FQ48" si="144">DE48*(1+$AV$55)</f>
        <v>10816.71378055196</v>
      </c>
      <c r="DG48" s="10">
        <f t="shared" si="144"/>
        <v>11141.215193968519</v>
      </c>
      <c r="DH48" s="10">
        <f t="shared" si="144"/>
        <v>11475.451649787576</v>
      </c>
      <c r="DI48" s="10">
        <f t="shared" si="144"/>
        <v>11819.715199281203</v>
      </c>
      <c r="DJ48" s="10">
        <f t="shared" si="144"/>
        <v>12174.306655259639</v>
      </c>
      <c r="DK48" s="10">
        <f t="shared" si="144"/>
        <v>12539.535854917429</v>
      </c>
      <c r="DL48" s="10">
        <f t="shared" si="144"/>
        <v>12915.721930564952</v>
      </c>
      <c r="DM48" s="10">
        <f t="shared" si="144"/>
        <v>13303.193588481901</v>
      </c>
      <c r="DN48" s="10">
        <f t="shared" si="144"/>
        <v>13702.289396136359</v>
      </c>
      <c r="DO48" s="10">
        <f t="shared" si="144"/>
        <v>14113.35807802045</v>
      </c>
      <c r="DP48" s="10">
        <f t="shared" si="144"/>
        <v>14536.758820361065</v>
      </c>
      <c r="DQ48" s="10">
        <f t="shared" si="144"/>
        <v>14972.861584971897</v>
      </c>
      <c r="DR48" s="10">
        <f t="shared" si="144"/>
        <v>15422.047432521054</v>
      </c>
      <c r="DS48" s="10">
        <f t="shared" si="144"/>
        <v>15884.708855496687</v>
      </c>
      <c r="DT48" s="10">
        <f t="shared" si="144"/>
        <v>16361.250121161587</v>
      </c>
      <c r="DU48" s="10">
        <f t="shared" si="144"/>
        <v>16852.087624796437</v>
      </c>
      <c r="DV48" s="10">
        <f t="shared" si="144"/>
        <v>17357.650253540331</v>
      </c>
      <c r="DW48" s="10">
        <f t="shared" si="144"/>
        <v>17878.379761146542</v>
      </c>
      <c r="DX48" s="10">
        <f t="shared" si="144"/>
        <v>18414.731153980938</v>
      </c>
      <c r="DY48" s="10">
        <f t="shared" si="144"/>
        <v>18967.173088600368</v>
      </c>
      <c r="DZ48" s="10">
        <f t="shared" si="144"/>
        <v>19536.188281258379</v>
      </c>
      <c r="EA48" s="10">
        <f t="shared" si="144"/>
        <v>20122.27392969613</v>
      </c>
      <c r="EB48" s="10">
        <f t="shared" si="144"/>
        <v>20725.942147587015</v>
      </c>
      <c r="EC48" s="10">
        <f t="shared" si="144"/>
        <v>21347.720412014627</v>
      </c>
      <c r="ED48" s="10">
        <f t="shared" si="144"/>
        <v>21988.152024375067</v>
      </c>
      <c r="EE48" s="10">
        <f t="shared" si="144"/>
        <v>22647.79658510632</v>
      </c>
      <c r="EF48" s="10">
        <f t="shared" si="144"/>
        <v>23327.23048265951</v>
      </c>
      <c r="EG48" s="10">
        <f t="shared" si="144"/>
        <v>24027.047397139297</v>
      </c>
      <c r="EH48" s="10">
        <f t="shared" si="144"/>
        <v>24747.858819053476</v>
      </c>
      <c r="EI48" s="10">
        <f t="shared" si="144"/>
        <v>25490.29458362508</v>
      </c>
      <c r="EJ48" s="10">
        <f t="shared" si="144"/>
        <v>26255.003421133832</v>
      </c>
      <c r="EK48" s="10">
        <f t="shared" si="144"/>
        <v>27042.653523767847</v>
      </c>
      <c r="EL48" s="10">
        <f t="shared" si="144"/>
        <v>27853.933129480884</v>
      </c>
      <c r="EM48" s="10">
        <f t="shared" si="144"/>
        <v>28689.551123365312</v>
      </c>
      <c r="EN48" s="10">
        <f t="shared" si="144"/>
        <v>29550.237657066271</v>
      </c>
      <c r="EO48" s="10">
        <f t="shared" si="144"/>
        <v>30436.744786778261</v>
      </c>
      <c r="EP48" s="10">
        <f t="shared" si="144"/>
        <v>31349.847130381611</v>
      </c>
      <c r="EQ48" s="10">
        <f t="shared" si="144"/>
        <v>32290.34254429306</v>
      </c>
      <c r="ER48" s="10">
        <f t="shared" si="144"/>
        <v>33259.052820621851</v>
      </c>
      <c r="ES48" s="10">
        <f t="shared" si="144"/>
        <v>34256.824405240506</v>
      </c>
      <c r="ET48" s="10">
        <f t="shared" si="144"/>
        <v>35284.529137397723</v>
      </c>
      <c r="EU48" s="10">
        <f t="shared" si="144"/>
        <v>36343.065011519655</v>
      </c>
      <c r="EV48" s="10">
        <f t="shared" si="144"/>
        <v>37433.356961865247</v>
      </c>
      <c r="EW48" s="10">
        <f t="shared" si="144"/>
        <v>38556.357670721205</v>
      </c>
      <c r="EX48" s="10">
        <f t="shared" si="144"/>
        <v>39713.048400842839</v>
      </c>
      <c r="EY48" s="10">
        <f t="shared" si="144"/>
        <v>40904.439852868127</v>
      </c>
      <c r="EZ48" s="10">
        <f t="shared" si="144"/>
        <v>42131.573048454171</v>
      </c>
      <c r="FA48" s="10">
        <f t="shared" si="144"/>
        <v>43395.520239907797</v>
      </c>
      <c r="FB48" s="10">
        <f t="shared" si="144"/>
        <v>44697.385847105033</v>
      </c>
      <c r="FC48" s="10">
        <f t="shared" si="144"/>
        <v>46038.307422518184</v>
      </c>
      <c r="FD48" s="10">
        <f t="shared" si="144"/>
        <v>47419.456645193728</v>
      </c>
      <c r="FE48" s="10">
        <f t="shared" si="144"/>
        <v>48842.040344549539</v>
      </c>
      <c r="FF48" s="10">
        <f t="shared" si="144"/>
        <v>50307.301554886028</v>
      </c>
      <c r="FG48" s="10">
        <f t="shared" si="144"/>
        <v>51816.520601532611</v>
      </c>
      <c r="FH48" s="10">
        <f t="shared" si="144"/>
        <v>53371.016219578589</v>
      </c>
      <c r="FI48" s="10">
        <f t="shared" si="144"/>
        <v>54972.14670616595</v>
      </c>
      <c r="FJ48" s="10">
        <f t="shared" si="144"/>
        <v>56621.311107350928</v>
      </c>
      <c r="FK48" s="10">
        <f t="shared" si="144"/>
        <v>58319.950440571454</v>
      </c>
      <c r="FL48" s="10">
        <f t="shared" si="144"/>
        <v>60069.548953788602</v>
      </c>
      <c r="FM48" s="10">
        <f t="shared" si="144"/>
        <v>61871.635422402265</v>
      </c>
      <c r="FN48" s="10">
        <f t="shared" si="144"/>
        <v>63727.784485074335</v>
      </c>
      <c r="FO48" s="10">
        <f t="shared" si="144"/>
        <v>65639.618019626563</v>
      </c>
      <c r="FP48" s="10">
        <f t="shared" si="144"/>
        <v>67608.806560215366</v>
      </c>
      <c r="FQ48" s="10">
        <f t="shared" si="144"/>
        <v>69637.070757021822</v>
      </c>
      <c r="FR48" s="10">
        <f t="shared" ref="FR48:GC48" si="145">FQ48*(1+$AV$55)</f>
        <v>71726.182879732485</v>
      </c>
      <c r="FS48" s="10">
        <f t="shared" si="145"/>
        <v>73877.968366124464</v>
      </c>
      <c r="FT48" s="10">
        <f t="shared" si="145"/>
        <v>76094.307417108197</v>
      </c>
      <c r="FU48" s="10">
        <f t="shared" si="145"/>
        <v>78377.136639621443</v>
      </c>
      <c r="FV48" s="10">
        <f t="shared" si="145"/>
        <v>80728.45073881009</v>
      </c>
      <c r="FW48" s="10">
        <f t="shared" si="145"/>
        <v>83150.304260974401</v>
      </c>
      <c r="FX48" s="10">
        <f t="shared" si="145"/>
        <v>85644.813388803639</v>
      </c>
      <c r="FY48" s="10">
        <f t="shared" si="145"/>
        <v>88214.157790467754</v>
      </c>
      <c r="FZ48" s="10">
        <f t="shared" si="145"/>
        <v>90860.582524181795</v>
      </c>
      <c r="GA48" s="10">
        <f t="shared" si="145"/>
        <v>93586.399999907255</v>
      </c>
      <c r="GB48" s="10">
        <f t="shared" si="145"/>
        <v>96393.99199990448</v>
      </c>
      <c r="GC48" s="10">
        <f t="shared" si="145"/>
        <v>99285.811759901611</v>
      </c>
    </row>
    <row r="49" spans="1:48" x14ac:dyDescent="0.25">
      <c r="A49" s="3"/>
      <c r="B49" s="5" t="s">
        <v>34</v>
      </c>
      <c r="C49" s="11">
        <f>C48/C50</f>
        <v>-0.26296212999325225</v>
      </c>
      <c r="D49" s="11">
        <f>D48/D50</f>
        <v>1.2067539747071951</v>
      </c>
      <c r="E49" s="11">
        <f t="shared" ref="E49:G49" si="146">E48/E50</f>
        <v>1.8604417292051612</v>
      </c>
      <c r="F49" s="11">
        <f t="shared" si="146"/>
        <v>1.4364987959376014</v>
      </c>
      <c r="G49" s="11">
        <f t="shared" si="146"/>
        <v>1.7307674589048212</v>
      </c>
      <c r="H49" s="11">
        <f t="shared" ref="H49:I49" si="147">H48/H50</f>
        <v>1.5788548909360178</v>
      </c>
      <c r="I49" s="11">
        <f t="shared" si="147"/>
        <v>1.5503006581863468</v>
      </c>
      <c r="J49" s="11">
        <f t="shared" ref="J49:L49" si="148">J48/J50</f>
        <v>1.7608450209498929</v>
      </c>
      <c r="K49" s="11">
        <f t="shared" si="148"/>
        <v>1.8917630529141694</v>
      </c>
      <c r="L49" s="11">
        <f t="shared" si="148"/>
        <v>-0.9898303100250001</v>
      </c>
      <c r="M49" s="11">
        <f t="shared" ref="M49:O49" si="149">M48/M50</f>
        <v>3.245168142777104</v>
      </c>
      <c r="N49" s="11">
        <f t="shared" si="149"/>
        <v>4.4333492234739218</v>
      </c>
      <c r="O49" s="11">
        <f t="shared" si="149"/>
        <v>5.6568649588947109</v>
      </c>
      <c r="P49" s="11">
        <f t="shared" ref="P49:Q49" si="150">P48/P50</f>
        <v>5.5784494892703487</v>
      </c>
      <c r="Q49" s="11">
        <f t="shared" si="150"/>
        <v>5.5709178123387249</v>
      </c>
      <c r="R49" s="11">
        <f>R48/R50</f>
        <v>6.1938161783269186</v>
      </c>
      <c r="S49" s="11">
        <f t="shared" ref="S49:V49" si="151">S48/S50</f>
        <v>6.4675298730638424</v>
      </c>
      <c r="T49" s="11">
        <f t="shared" si="151"/>
        <v>6.7255679455574189</v>
      </c>
      <c r="U49" s="11">
        <f t="shared" si="151"/>
        <v>7.5751268340585405</v>
      </c>
      <c r="V49" s="11">
        <f t="shared" si="151"/>
        <v>8.254111748555772</v>
      </c>
      <c r="Z49" s="11">
        <f>Z48/Z50</f>
        <v>-1.7559657811796436</v>
      </c>
      <c r="AA49" s="11">
        <f>AA48/AA50</f>
        <v>2.3890814558058904</v>
      </c>
      <c r="AB49" s="11">
        <f t="shared" ref="AB49:AC49" si="152">AB48/AB50</f>
        <v>-12.695112866621626</v>
      </c>
      <c r="AC49" s="11">
        <f t="shared" si="152"/>
        <v>-1.9440957764523719</v>
      </c>
      <c r="AD49" s="11">
        <f>AD48/AD50</f>
        <v>5.0132747572059824</v>
      </c>
      <c r="AE49" s="11">
        <f>AE48/AE50</f>
        <v>-1.6034873285183178</v>
      </c>
      <c r="AF49" s="11">
        <f t="shared" ref="AF49:AH49" si="153">AF48/AF50</f>
        <v>6.5074307315318931</v>
      </c>
      <c r="AG49" s="11">
        <f t="shared" si="153"/>
        <v>11.261953129823867</v>
      </c>
      <c r="AH49" s="11">
        <f t="shared" si="153"/>
        <v>22.054850973461882</v>
      </c>
      <c r="AI49" s="11">
        <f t="shared" ref="AI49" si="154">AI48/AI50</f>
        <v>29.022336401235574</v>
      </c>
      <c r="AJ49" s="11">
        <f t="shared" ref="AJ49" si="155">AJ48/AJ50</f>
        <v>50.722762724102893</v>
      </c>
      <c r="AK49" s="11">
        <f t="shared" ref="AK49" si="156">AK48/AK50</f>
        <v>57.440857126710476</v>
      </c>
      <c r="AL49" s="11">
        <f t="shared" ref="AL49" si="157">AL48/AL50</f>
        <v>66.438593917855215</v>
      </c>
      <c r="AM49" s="11">
        <f t="shared" ref="AM49" si="158">AM48/AM50</f>
        <v>71.711440590120333</v>
      </c>
      <c r="AN49" s="11">
        <f t="shared" ref="AN49" si="159">AN48/AN50</f>
        <v>64.289618478769256</v>
      </c>
      <c r="AO49" s="11">
        <f t="shared" ref="AO49" si="160">AO48/AO50</f>
        <v>85.102559309723773</v>
      </c>
      <c r="AP49" s="11">
        <f t="shared" ref="AP49" si="161">AP48/AP50</f>
        <v>98.832091655815859</v>
      </c>
      <c r="AQ49" s="11">
        <f t="shared" ref="AQ49" si="162">AQ48/AQ50</f>
        <v>103.13350564789347</v>
      </c>
      <c r="AR49" s="11">
        <f t="shared" ref="AR49" si="163">AR48/AR50</f>
        <v>114.1707221546655</v>
      </c>
    </row>
    <row r="50" spans="1:48" x14ac:dyDescent="0.25">
      <c r="A50" s="3"/>
      <c r="B50" s="5" t="s">
        <v>5</v>
      </c>
      <c r="C50" s="3">
        <f>23.1212/2</f>
        <v>11.560600000000001</v>
      </c>
      <c r="D50" s="3">
        <f>23.1212/2</f>
        <v>11.560600000000001</v>
      </c>
      <c r="E50" s="3">
        <f>23.8653/2</f>
        <v>11.932650000000001</v>
      </c>
      <c r="F50" s="3">
        <f>23.8775/2</f>
        <v>11.938750000000001</v>
      </c>
      <c r="G50" s="3">
        <f>23.8775/2</f>
        <v>11.938750000000001</v>
      </c>
      <c r="H50" s="3">
        <f>23.9034/2</f>
        <v>11.951700000000001</v>
      </c>
      <c r="I50" s="3">
        <f t="shared" ref="I50:O50" si="164">23.9142/2</f>
        <v>11.957100000000001</v>
      </c>
      <c r="J50" s="3">
        <f t="shared" si="164"/>
        <v>11.957100000000001</v>
      </c>
      <c r="K50" s="3">
        <f t="shared" si="164"/>
        <v>11.957100000000001</v>
      </c>
      <c r="L50" s="3">
        <f t="shared" si="164"/>
        <v>11.957100000000001</v>
      </c>
      <c r="M50" s="3">
        <f t="shared" si="164"/>
        <v>11.957100000000001</v>
      </c>
      <c r="N50" s="3">
        <f t="shared" si="164"/>
        <v>11.957100000000001</v>
      </c>
      <c r="O50" s="3">
        <f t="shared" si="164"/>
        <v>11.957100000000001</v>
      </c>
      <c r="P50" s="3">
        <f>25.4342/2</f>
        <v>12.7171</v>
      </c>
      <c r="Q50" s="3">
        <f>26.9347/2</f>
        <v>13.46735</v>
      </c>
      <c r="R50" s="3">
        <f>26.9348/2</f>
        <v>13.4674</v>
      </c>
      <c r="S50" s="3">
        <f>R50</f>
        <v>13.4674</v>
      </c>
      <c r="T50" s="3">
        <f>S50</f>
        <v>13.4674</v>
      </c>
      <c r="U50" s="3">
        <f t="shared" ref="U50:V50" si="165">T50</f>
        <v>13.4674</v>
      </c>
      <c r="V50" s="3">
        <f t="shared" si="165"/>
        <v>13.4674</v>
      </c>
      <c r="Z50" s="3">
        <v>11.105</v>
      </c>
      <c r="AA50" s="3">
        <v>11.54</v>
      </c>
      <c r="AB50" s="3">
        <v>11.544600000000001</v>
      </c>
      <c r="AC50" s="3">
        <v>11.5519</v>
      </c>
      <c r="AD50" s="3">
        <v>11.5633</v>
      </c>
      <c r="AE50" s="3">
        <v>11.6995</v>
      </c>
      <c r="AF50" s="3">
        <f>J50</f>
        <v>11.957100000000001</v>
      </c>
      <c r="AG50" s="3">
        <f>119571089/10000000</f>
        <v>11.9571089</v>
      </c>
      <c r="AH50" s="3">
        <f>R50</f>
        <v>13.4674</v>
      </c>
      <c r="AI50" s="3">
        <f>AH50</f>
        <v>13.4674</v>
      </c>
      <c r="AJ50" s="3">
        <f t="shared" ref="AJ50:AR50" si="166">AI50</f>
        <v>13.4674</v>
      </c>
      <c r="AK50" s="3">
        <f t="shared" si="166"/>
        <v>13.4674</v>
      </c>
      <c r="AL50" s="3">
        <f t="shared" si="166"/>
        <v>13.4674</v>
      </c>
      <c r="AM50" s="3">
        <f t="shared" si="166"/>
        <v>13.4674</v>
      </c>
      <c r="AN50" s="3">
        <f t="shared" si="166"/>
        <v>13.4674</v>
      </c>
      <c r="AO50" s="3">
        <f t="shared" si="166"/>
        <v>13.4674</v>
      </c>
      <c r="AP50" s="3">
        <f t="shared" si="166"/>
        <v>13.4674</v>
      </c>
      <c r="AQ50" s="3">
        <f t="shared" si="166"/>
        <v>13.4674</v>
      </c>
      <c r="AR50" s="3">
        <f t="shared" si="166"/>
        <v>13.4674</v>
      </c>
    </row>
    <row r="52" spans="1:48" x14ac:dyDescent="0.25">
      <c r="A52" s="3"/>
      <c r="B52" s="5" t="s">
        <v>41</v>
      </c>
      <c r="G52" s="12">
        <f>G34/C34-1</f>
        <v>1.4662555444269563</v>
      </c>
      <c r="H52" s="12">
        <f t="shared" ref="H52:L52" si="167">H34/D34-1</f>
        <v>0.16359286634495707</v>
      </c>
      <c r="I52" s="12">
        <f t="shared" si="167"/>
        <v>0.16792949549169212</v>
      </c>
      <c r="J52" s="12">
        <f t="shared" si="167"/>
        <v>0.55743121285494124</v>
      </c>
      <c r="K52" s="12">
        <f t="shared" si="167"/>
        <v>0.26729888505081623</v>
      </c>
      <c r="L52" s="12">
        <f t="shared" si="167"/>
        <v>0.82502419000146632</v>
      </c>
      <c r="M52" s="12">
        <f t="shared" ref="M52" si="168">M34/I34-1</f>
        <v>1.0058058787427018</v>
      </c>
      <c r="N52" s="12">
        <f t="shared" ref="N52" si="169">N34/J34-1</f>
        <v>1.3144159372625288</v>
      </c>
      <c r="O52" s="12">
        <f>O34/K34-1</f>
        <v>1.106845586888848</v>
      </c>
      <c r="P52" s="12">
        <f t="shared" ref="P52" si="170">P34/L34-1</f>
        <v>0.5137927571938441</v>
      </c>
      <c r="Q52" s="12">
        <f t="shared" ref="Q52" si="171">Q34/M34-1</f>
        <v>0.24755278674141001</v>
      </c>
      <c r="R52" s="12">
        <f t="shared" ref="R52" si="172">R34/N34-1</f>
        <v>8.6134572451735281E-2</v>
      </c>
      <c r="S52" s="12">
        <f t="shared" ref="S52" si="173">S34/O34-1</f>
        <v>0.10266865137243797</v>
      </c>
      <c r="T52" s="12">
        <f t="shared" ref="T52" si="174">T34/P34-1</f>
        <v>0.13388534248362149</v>
      </c>
      <c r="U52" s="12">
        <f t="shared" ref="U52" si="175">U34/Q34-1</f>
        <v>0.15323464606804893</v>
      </c>
      <c r="V52" s="12">
        <f t="shared" ref="V52" si="176">V34/R34-1</f>
        <v>0.20775247480218462</v>
      </c>
      <c r="AA52" s="12">
        <f>AA34/Z34-1</f>
        <v>0.74097850595197068</v>
      </c>
      <c r="AB52" s="12">
        <f t="shared" ref="AB52:AR52" si="177">AB34/AA34-1</f>
        <v>-0.26404967791922818</v>
      </c>
      <c r="AC52" s="12">
        <f t="shared" si="177"/>
        <v>0.35566740951356324</v>
      </c>
      <c r="AD52" s="12">
        <f t="shared" si="177"/>
        <v>2.0525698219518995E-2</v>
      </c>
      <c r="AE52" s="12">
        <f t="shared" si="177"/>
        <v>-0.14156214937178524</v>
      </c>
      <c r="AF52" s="12">
        <f t="shared" si="177"/>
        <v>-3.8991122499158815E-2</v>
      </c>
      <c r="AG52" s="12">
        <f t="shared" si="177"/>
        <v>0.90016994115349913</v>
      </c>
      <c r="AH52" s="12">
        <f t="shared" si="177"/>
        <v>0.38154974625203364</v>
      </c>
      <c r="AI52" s="12">
        <f t="shared" ref="AI52" si="178">AI34/AH34-1</f>
        <v>0.42919840753791094</v>
      </c>
      <c r="AJ52" s="12">
        <f t="shared" si="177"/>
        <v>0.14099913690620491</v>
      </c>
      <c r="AK52" s="12">
        <f t="shared" si="177"/>
        <v>7.6174168702264122E-2</v>
      </c>
      <c r="AL52" s="12">
        <f t="shared" si="177"/>
        <v>0.13832565980947775</v>
      </c>
      <c r="AM52" s="12">
        <f t="shared" si="177"/>
        <v>5.8407087516950895E-2</v>
      </c>
      <c r="AN52" s="12">
        <f t="shared" si="177"/>
        <v>-5.6711116330567246E-2</v>
      </c>
      <c r="AO52" s="12">
        <f t="shared" si="177"/>
        <v>0.18530768424581234</v>
      </c>
      <c r="AP52" s="12">
        <f t="shared" si="177"/>
        <v>9.9796504165122091E-2</v>
      </c>
      <c r="AQ52" s="12">
        <f t="shared" si="177"/>
        <v>6.7514904226172234E-2</v>
      </c>
      <c r="AR52" s="12">
        <f t="shared" si="177"/>
        <v>6.9082697184152497E-2</v>
      </c>
    </row>
    <row r="53" spans="1:48" x14ac:dyDescent="0.25">
      <c r="A53" s="3"/>
      <c r="B53" s="5" t="s">
        <v>42</v>
      </c>
      <c r="C53" s="12">
        <f>C36/C34</f>
        <v>0.2759336099585063</v>
      </c>
      <c r="D53" s="12">
        <f t="shared" ref="D53:R53" si="179">D36/D34</f>
        <v>0.34800587374718867</v>
      </c>
      <c r="E53" s="12">
        <f t="shared" si="179"/>
        <v>0.27848979222580733</v>
      </c>
      <c r="F53" s="12">
        <f t="shared" si="179"/>
        <v>0.31715459681561387</v>
      </c>
      <c r="G53" s="12">
        <f t="shared" si="179"/>
        <v>0.31735614672448131</v>
      </c>
      <c r="H53" s="12">
        <f t="shared" si="179"/>
        <v>0.32892537751062895</v>
      </c>
      <c r="I53" s="12">
        <f t="shared" si="179"/>
        <v>0.26614477619377985</v>
      </c>
      <c r="J53" s="12">
        <f t="shared" si="179"/>
        <v>0.28065417174882207</v>
      </c>
      <c r="K53" s="12">
        <f t="shared" si="179"/>
        <v>0.17620399194286765</v>
      </c>
      <c r="L53" s="12">
        <f t="shared" si="179"/>
        <v>0.25001345544720693</v>
      </c>
      <c r="M53" s="12">
        <f t="shared" si="179"/>
        <v>0.25162465301860309</v>
      </c>
      <c r="N53" s="12">
        <f t="shared" si="179"/>
        <v>0.23364815096590272</v>
      </c>
      <c r="O53" s="12">
        <f t="shared" si="179"/>
        <v>0.21051885367271059</v>
      </c>
      <c r="P53" s="12">
        <f t="shared" si="179"/>
        <v>0.27869417569134736</v>
      </c>
      <c r="Q53" s="12">
        <f t="shared" si="179"/>
        <v>0.23779779114203289</v>
      </c>
      <c r="R53" s="12">
        <f t="shared" si="179"/>
        <v>0.24408155883488444</v>
      </c>
      <c r="S53" s="12">
        <v>0.24</v>
      </c>
      <c r="T53" s="12">
        <v>0.24</v>
      </c>
      <c r="U53" s="12">
        <v>0.24</v>
      </c>
      <c r="V53" s="12">
        <v>0.24</v>
      </c>
      <c r="Z53" s="12">
        <f>Z36/Z34</f>
        <v>0.44991778502013535</v>
      </c>
      <c r="AA53" s="12">
        <f t="shared" ref="AA53:AH53" si="180">AA36/AA34</f>
        <v>0.48241422019126901</v>
      </c>
      <c r="AB53" s="12">
        <f t="shared" si="180"/>
        <v>0.46793975255513715</v>
      </c>
      <c r="AC53" s="12">
        <f t="shared" si="180"/>
        <v>0.37731346329352139</v>
      </c>
      <c r="AD53" s="12">
        <f t="shared" si="180"/>
        <v>0.3377417598897986</v>
      </c>
      <c r="AE53" s="12">
        <f t="shared" si="180"/>
        <v>0.32340761446282057</v>
      </c>
      <c r="AF53" s="12">
        <f t="shared" si="180"/>
        <v>0.30161861542397761</v>
      </c>
      <c r="AG53" s="12">
        <f t="shared" si="180"/>
        <v>0.23275362820047996</v>
      </c>
      <c r="AH53" s="12">
        <f t="shared" si="180"/>
        <v>0.24296085672704038</v>
      </c>
      <c r="AI53" s="12">
        <v>0.24</v>
      </c>
      <c r="AJ53" s="12">
        <v>0.24</v>
      </c>
      <c r="AK53" s="12">
        <v>0.25</v>
      </c>
      <c r="AL53" s="12">
        <v>0.25</v>
      </c>
      <c r="AM53" s="12">
        <v>0.26</v>
      </c>
      <c r="AN53" s="12">
        <v>0.27</v>
      </c>
      <c r="AO53" s="12">
        <v>0.28000000000000003</v>
      </c>
      <c r="AP53" s="12">
        <v>0.28999999999999998</v>
      </c>
      <c r="AQ53" s="12">
        <v>0.28999999999999998</v>
      </c>
      <c r="AR53" s="12">
        <v>0.3</v>
      </c>
    </row>
    <row r="54" spans="1:48" x14ac:dyDescent="0.25">
      <c r="A54" s="3"/>
      <c r="B54" s="5" t="s">
        <v>47</v>
      </c>
      <c r="D54" s="12">
        <f>D47/D46</f>
        <v>0.27756488597054502</v>
      </c>
      <c r="E54" s="12">
        <f t="shared" ref="E54:R54" si="181">E47/E46</f>
        <v>0.23658872077028914</v>
      </c>
      <c r="F54" s="12">
        <f t="shared" si="181"/>
        <v>0.1654501216545009</v>
      </c>
      <c r="G54" s="12">
        <f t="shared" si="181"/>
        <v>0.26864213611201626</v>
      </c>
      <c r="H54" s="12">
        <f t="shared" si="181"/>
        <v>0.27058368766911478</v>
      </c>
      <c r="I54" s="12">
        <f t="shared" si="181"/>
        <v>0.28198364649786417</v>
      </c>
      <c r="J54" s="12">
        <f t="shared" si="181"/>
        <v>0.22889915984852399</v>
      </c>
      <c r="K54" s="12">
        <f t="shared" si="181"/>
        <v>0.20211640211640203</v>
      </c>
      <c r="L54" s="12"/>
      <c r="M54" s="12">
        <f t="shared" si="181"/>
        <v>0.29027231091145811</v>
      </c>
      <c r="N54" s="12">
        <f t="shared" si="181"/>
        <v>0.29481252868440816</v>
      </c>
      <c r="O54" s="12">
        <f t="shared" si="181"/>
        <v>0.24936272121647293</v>
      </c>
      <c r="P54" s="12">
        <f t="shared" si="181"/>
        <v>0.25270799954072254</v>
      </c>
      <c r="Q54" s="12">
        <f t="shared" si="181"/>
        <v>0.25058060262806986</v>
      </c>
      <c r="R54" s="12">
        <f t="shared" si="181"/>
        <v>0.25520883092717428</v>
      </c>
      <c r="S54" s="12">
        <v>0.25</v>
      </c>
      <c r="T54" s="12">
        <v>0.25</v>
      </c>
      <c r="U54" s="12">
        <v>0.25</v>
      </c>
      <c r="V54" s="12">
        <v>0.25</v>
      </c>
      <c r="Z54" s="12"/>
      <c r="AA54" s="12">
        <f t="shared" ref="AA54:AH54" si="182">AA47/AA46</f>
        <v>0.44671884406983769</v>
      </c>
      <c r="AB54" s="12">
        <f t="shared" si="182"/>
        <v>0.11975975975975975</v>
      </c>
      <c r="AC54" s="12">
        <f t="shared" si="182"/>
        <v>0.59475260745605951</v>
      </c>
      <c r="AD54" s="12"/>
      <c r="AE54" s="12"/>
      <c r="AF54" s="12">
        <f t="shared" si="182"/>
        <v>0.27280373831775701</v>
      </c>
      <c r="AG54" s="12">
        <f t="shared" si="182"/>
        <v>0.2917098848939938</v>
      </c>
      <c r="AH54" s="12">
        <f t="shared" si="182"/>
        <v>0.25211796443763562</v>
      </c>
      <c r="AI54" s="12">
        <f t="shared" ref="AI54" si="183">AI47/AI46</f>
        <v>0.25</v>
      </c>
      <c r="AJ54" s="12">
        <v>0.25</v>
      </c>
      <c r="AK54" s="12">
        <v>0.25</v>
      </c>
      <c r="AL54" s="12">
        <v>0.25</v>
      </c>
      <c r="AM54" s="12">
        <v>0.25</v>
      </c>
      <c r="AN54" s="12">
        <v>0.25</v>
      </c>
      <c r="AO54" s="12">
        <v>0.25</v>
      </c>
      <c r="AP54" s="12">
        <v>0.25</v>
      </c>
      <c r="AQ54" s="12">
        <v>0.25</v>
      </c>
      <c r="AR54" s="12">
        <v>0.25</v>
      </c>
    </row>
    <row r="55" spans="1:48" x14ac:dyDescent="0.25">
      <c r="A55" s="3"/>
      <c r="B55" s="5" t="s">
        <v>117</v>
      </c>
      <c r="D55" s="12"/>
      <c r="E55" s="12"/>
      <c r="F55" s="12"/>
      <c r="G55" s="12">
        <f>G38/C38-1</f>
        <v>0.3945371775417299</v>
      </c>
      <c r="H55" s="12">
        <f t="shared" ref="H55:R55" si="184">H38/D38-1</f>
        <v>0.58507462686567147</v>
      </c>
      <c r="I55" s="12">
        <f t="shared" si="184"/>
        <v>0.86453576864535764</v>
      </c>
      <c r="J55" s="12">
        <f t="shared" si="184"/>
        <v>0.48199767711962838</v>
      </c>
      <c r="K55" s="12">
        <f t="shared" si="184"/>
        <v>0.33841131664853119</v>
      </c>
      <c r="L55" s="12">
        <f t="shared" si="184"/>
        <v>0.22598870056497189</v>
      </c>
      <c r="M55" s="12">
        <f t="shared" si="184"/>
        <v>0.15673469387755112</v>
      </c>
      <c r="N55" s="12">
        <f t="shared" si="184"/>
        <v>0.32415360501567414</v>
      </c>
      <c r="O55" s="12">
        <f t="shared" si="184"/>
        <v>0.28455284552845517</v>
      </c>
      <c r="P55" s="12">
        <f t="shared" si="184"/>
        <v>0.32642089093701987</v>
      </c>
      <c r="Q55" s="12">
        <f t="shared" si="184"/>
        <v>6.3260409315455179E-2</v>
      </c>
      <c r="R55" s="12">
        <f t="shared" si="184"/>
        <v>7.379174015459089E-2</v>
      </c>
      <c r="S55" s="12">
        <v>0.05</v>
      </c>
      <c r="T55" s="12">
        <v>0.05</v>
      </c>
      <c r="U55" s="12">
        <v>0.05</v>
      </c>
      <c r="V55" s="12">
        <v>0.05</v>
      </c>
      <c r="AA55" s="12">
        <f>AA38/Z38-1</f>
        <v>0.26155218554861714</v>
      </c>
      <c r="AB55" s="12">
        <f t="shared" ref="AB55:AH55" si="185">AB38/AA38-1</f>
        <v>0.12817611841795129</v>
      </c>
      <c r="AC55" s="12">
        <f t="shared" si="185"/>
        <v>-5.9627277285642544E-2</v>
      </c>
      <c r="AD55" s="12">
        <f t="shared" si="185"/>
        <v>-0.32561652966007548</v>
      </c>
      <c r="AE55" s="12">
        <f t="shared" si="185"/>
        <v>0.38736245634842192</v>
      </c>
      <c r="AF55" s="12">
        <f t="shared" si="185"/>
        <v>-0.78428951367781152</v>
      </c>
      <c r="AG55" s="12">
        <f t="shared" si="185"/>
        <v>0.24438573315719947</v>
      </c>
      <c r="AH55" s="12">
        <f t="shared" si="185"/>
        <v>0.17267162066525144</v>
      </c>
      <c r="AI55" s="12">
        <v>0.13</v>
      </c>
      <c r="AJ55" s="12">
        <v>0.13</v>
      </c>
      <c r="AK55" s="12">
        <v>0.13</v>
      </c>
      <c r="AL55" s="12">
        <v>0.13</v>
      </c>
      <c r="AM55" s="12">
        <v>0.13</v>
      </c>
      <c r="AN55" s="12">
        <v>0.13</v>
      </c>
      <c r="AO55" s="12">
        <v>0.13</v>
      </c>
      <c r="AP55" s="12">
        <v>0.13</v>
      </c>
      <c r="AQ55" s="12">
        <v>0.13</v>
      </c>
      <c r="AR55" s="12">
        <v>0.13</v>
      </c>
      <c r="AU55" s="3" t="s">
        <v>140</v>
      </c>
      <c r="AV55" s="12">
        <v>0.03</v>
      </c>
    </row>
    <row r="56" spans="1:48" x14ac:dyDescent="0.25">
      <c r="A56" s="3"/>
      <c r="B56" s="5" t="s">
        <v>116</v>
      </c>
      <c r="D56" s="12"/>
      <c r="E56" s="12"/>
      <c r="F56" s="12"/>
      <c r="G56" s="12">
        <f>G39/C39-1</f>
        <v>-0.28388746803069065</v>
      </c>
      <c r="H56" s="12">
        <f t="shared" ref="H56:R56" si="186">H39/D39-1</f>
        <v>-0.19119496855345919</v>
      </c>
      <c r="I56" s="12">
        <f t="shared" si="186"/>
        <v>0.37067545304777583</v>
      </c>
      <c r="J56" s="12">
        <f t="shared" si="186"/>
        <v>0.39945897204688907</v>
      </c>
      <c r="K56" s="12">
        <f t="shared" si="186"/>
        <v>0.34642857142857153</v>
      </c>
      <c r="L56" s="12">
        <f t="shared" si="186"/>
        <v>0.54665629860031117</v>
      </c>
      <c r="M56" s="12">
        <f t="shared" si="186"/>
        <v>0.38461538461538458</v>
      </c>
      <c r="N56" s="12">
        <f t="shared" si="186"/>
        <v>0.43360180412371152</v>
      </c>
      <c r="O56" s="12">
        <f t="shared" si="186"/>
        <v>0.26657824933687002</v>
      </c>
      <c r="P56" s="12">
        <f t="shared" si="186"/>
        <v>1.9607843137254832E-2</v>
      </c>
      <c r="Q56" s="12">
        <f t="shared" si="186"/>
        <v>-0.20856336805555553</v>
      </c>
      <c r="R56" s="12">
        <f t="shared" si="186"/>
        <v>-0.28834355828220859</v>
      </c>
      <c r="S56" s="12">
        <v>-0.1</v>
      </c>
      <c r="T56" s="12">
        <v>-0.1</v>
      </c>
      <c r="U56" s="12">
        <v>-0.1</v>
      </c>
      <c r="V56" s="12">
        <v>-0.1</v>
      </c>
      <c r="Z56" s="12"/>
      <c r="AA56" s="12">
        <f>AA39/Z39-1</f>
        <v>0.81134259259259256</v>
      </c>
      <c r="AB56" s="12">
        <f t="shared" ref="AB56:AH56" si="187">AB39/AA39-1</f>
        <v>0.40734824281150139</v>
      </c>
      <c r="AC56" s="12">
        <f t="shared" si="187"/>
        <v>0.55228149829738937</v>
      </c>
      <c r="AD56" s="12">
        <f t="shared" si="187"/>
        <v>0.29091228172804118</v>
      </c>
      <c r="AE56" s="12">
        <f t="shared" si="187"/>
        <v>-8.0208451342471898E-2</v>
      </c>
      <c r="AF56" s="12">
        <f t="shared" si="187"/>
        <v>-0.29474073161719427</v>
      </c>
      <c r="AG56" s="12">
        <f t="shared" si="187"/>
        <v>0.4100593782745372</v>
      </c>
      <c r="AH56" s="12">
        <f t="shared" si="187"/>
        <v>-9.0305920237800263E-2</v>
      </c>
      <c r="AI56" s="12">
        <v>0.12</v>
      </c>
      <c r="AJ56" s="12">
        <v>0.12</v>
      </c>
      <c r="AK56" s="12">
        <v>0.12</v>
      </c>
      <c r="AL56" s="12">
        <v>0.12</v>
      </c>
      <c r="AM56" s="12">
        <v>0.12</v>
      </c>
      <c r="AN56" s="12">
        <v>0.12</v>
      </c>
      <c r="AO56" s="12">
        <v>0.12</v>
      </c>
      <c r="AP56" s="12">
        <v>0.12</v>
      </c>
      <c r="AQ56" s="12">
        <v>0.12</v>
      </c>
      <c r="AR56" s="12">
        <v>0.12</v>
      </c>
      <c r="AU56" s="3" t="s">
        <v>141</v>
      </c>
      <c r="AV56" s="12">
        <v>0.01</v>
      </c>
    </row>
    <row r="57" spans="1:48" x14ac:dyDescent="0.25">
      <c r="A57" s="3"/>
      <c r="B57" s="5" t="s">
        <v>118</v>
      </c>
      <c r="C57" s="12">
        <f>C40/C34</f>
        <v>2.711403634282444E-2</v>
      </c>
      <c r="D57" s="12">
        <f t="shared" ref="D57:R57" si="188">D40/D34</f>
        <v>1.2623643470096296E-2</v>
      </c>
      <c r="E57" s="12">
        <f t="shared" si="188"/>
        <v>1.1278308856789604E-2</v>
      </c>
      <c r="F57" s="12">
        <f t="shared" si="188"/>
        <v>1.6472228336635114E-2</v>
      </c>
      <c r="G57" s="12">
        <f t="shared" si="188"/>
        <v>1.1806231601714023E-2</v>
      </c>
      <c r="H57" s="12">
        <f t="shared" si="188"/>
        <v>1.1142061281337046E-2</v>
      </c>
      <c r="I57" s="12">
        <f t="shared" si="188"/>
        <v>1.278088578509883E-2</v>
      </c>
      <c r="J57" s="12">
        <f t="shared" si="188"/>
        <v>1.3073447333794085E-2</v>
      </c>
      <c r="K57" s="12">
        <f t="shared" si="188"/>
        <v>1.236037355795642E-2</v>
      </c>
      <c r="L57" s="12">
        <f t="shared" si="188"/>
        <v>8.5150889786632742E-3</v>
      </c>
      <c r="M57" s="12">
        <f t="shared" si="188"/>
        <v>6.964085912877096E-3</v>
      </c>
      <c r="N57" s="12">
        <f t="shared" si="188"/>
        <v>6.4908172960220405E-3</v>
      </c>
      <c r="O57" s="12">
        <f t="shared" si="188"/>
        <v>7.2030869627711224E-3</v>
      </c>
      <c r="P57" s="12">
        <f t="shared" si="188"/>
        <v>7.0896265709015195E-3</v>
      </c>
      <c r="Q57" s="12">
        <f t="shared" si="188"/>
        <v>7.0085984412771411E-3</v>
      </c>
      <c r="R57" s="12">
        <f t="shared" si="188"/>
        <v>6.5461844378891191E-3</v>
      </c>
      <c r="S57" s="12">
        <v>0.01</v>
      </c>
      <c r="T57" s="12">
        <v>0.01</v>
      </c>
      <c r="U57" s="12">
        <v>0.01</v>
      </c>
      <c r="V57" s="12">
        <v>0.01</v>
      </c>
      <c r="Z57" s="12">
        <f>Z40/Z34</f>
        <v>4.520346976753345E-2</v>
      </c>
      <c r="AA57" s="12">
        <f t="shared" ref="AA57:AH57" si="189">AA40/AA34</f>
        <v>2.9137140239453907E-2</v>
      </c>
      <c r="AB57" s="12">
        <f t="shared" si="189"/>
        <v>3.9060939060939062E-2</v>
      </c>
      <c r="AC57" s="12">
        <f t="shared" si="189"/>
        <v>2.0486018604071132E-2</v>
      </c>
      <c r="AD57" s="12">
        <f t="shared" si="189"/>
        <v>1.6174722552406769E-2</v>
      </c>
      <c r="AE57" s="12">
        <f t="shared" si="189"/>
        <v>1.9320858244687735E-2</v>
      </c>
      <c r="AF57" s="12">
        <f t="shared" si="189"/>
        <v>1.2375271003622358E-2</v>
      </c>
      <c r="AG57" s="12">
        <f t="shared" si="189"/>
        <v>7.9725873391627948E-3</v>
      </c>
      <c r="AH57" s="12">
        <f t="shared" si="189"/>
        <v>6.9475293056974448E-3</v>
      </c>
      <c r="AI57" s="12">
        <f t="shared" ref="AI57" si="190">AI40/AI34</f>
        <v>8.0572656306079973E-3</v>
      </c>
      <c r="AJ57" s="12">
        <v>0.01</v>
      </c>
      <c r="AK57" s="12">
        <v>0.01</v>
      </c>
      <c r="AL57" s="12">
        <v>0.01</v>
      </c>
      <c r="AM57" s="12">
        <v>0.01</v>
      </c>
      <c r="AN57" s="12">
        <v>0.01</v>
      </c>
      <c r="AO57" s="12">
        <v>0.01</v>
      </c>
      <c r="AP57" s="12">
        <v>0.01</v>
      </c>
      <c r="AQ57" s="12">
        <v>0.01</v>
      </c>
      <c r="AR57" s="12">
        <v>0.01</v>
      </c>
      <c r="AU57" s="3" t="s">
        <v>142</v>
      </c>
      <c r="AV57" s="12">
        <v>7.0000000000000007E-2</v>
      </c>
    </row>
    <row r="58" spans="1:48" x14ac:dyDescent="0.25">
      <c r="A58" s="3"/>
      <c r="B58" s="5" t="s">
        <v>119</v>
      </c>
      <c r="D58" s="12"/>
      <c r="E58" s="12"/>
      <c r="F58" s="12"/>
      <c r="G58" s="12">
        <f>G41/C41-1</f>
        <v>1.0421626984126986</v>
      </c>
      <c r="H58" s="12">
        <f t="shared" ref="H58:R58" si="191">H41/D41-1</f>
        <v>0.29194630872483218</v>
      </c>
      <c r="I58" s="12">
        <f t="shared" si="191"/>
        <v>0.19930069930069938</v>
      </c>
      <c r="J58" s="12">
        <f t="shared" si="191"/>
        <v>0.43278249218401066</v>
      </c>
      <c r="K58" s="12">
        <f t="shared" si="191"/>
        <v>0.3376244838474618</v>
      </c>
      <c r="L58" s="12">
        <f t="shared" si="191"/>
        <v>0.31768231768231781</v>
      </c>
      <c r="M58" s="12">
        <f t="shared" si="191"/>
        <v>0.4211856171039845</v>
      </c>
      <c r="N58" s="12">
        <f t="shared" si="191"/>
        <v>0.78389962593516227</v>
      </c>
      <c r="O58" s="12">
        <f t="shared" si="191"/>
        <v>0.39477029235518435</v>
      </c>
      <c r="P58" s="12">
        <f t="shared" si="191"/>
        <v>0.23760424564063687</v>
      </c>
      <c r="Q58" s="12">
        <f t="shared" si="191"/>
        <v>0.11931892778993425</v>
      </c>
      <c r="R58" s="12">
        <f t="shared" si="191"/>
        <v>-6.7623957013673408E-2</v>
      </c>
      <c r="S58" s="12">
        <v>0.05</v>
      </c>
      <c r="T58" s="12">
        <v>0.05</v>
      </c>
      <c r="U58" s="12">
        <v>0.05</v>
      </c>
      <c r="V58" s="12">
        <v>0.05</v>
      </c>
      <c r="AA58" s="12">
        <f t="shared" ref="AA58:AH58" si="192">AA41/Z41-1</f>
        <v>0.52561420578934537</v>
      </c>
      <c r="AB58" s="12">
        <f t="shared" si="192"/>
        <v>0.17468669281545979</v>
      </c>
      <c r="AC58" s="12">
        <f t="shared" si="192"/>
        <v>7.6879224692564474E-2</v>
      </c>
      <c r="AD58" s="12">
        <f t="shared" si="192"/>
        <v>-0.1375633366104515</v>
      </c>
      <c r="AE58" s="12">
        <f t="shared" si="192"/>
        <v>-0.3101543318133988</v>
      </c>
      <c r="AF58" s="12">
        <f t="shared" si="192"/>
        <v>-0.11194440913520609</v>
      </c>
      <c r="AG58" s="12">
        <f t="shared" si="192"/>
        <v>0.47731284889546255</v>
      </c>
      <c r="AH58" s="12">
        <f t="shared" si="192"/>
        <v>0.120659173852663</v>
      </c>
      <c r="AI58" s="12">
        <v>0.1</v>
      </c>
      <c r="AJ58" s="12">
        <v>0.1</v>
      </c>
      <c r="AK58" s="12">
        <v>0.1</v>
      </c>
      <c r="AL58" s="12">
        <v>0.1</v>
      </c>
      <c r="AM58" s="12">
        <v>0.15</v>
      </c>
      <c r="AN58" s="12">
        <v>0.12</v>
      </c>
      <c r="AO58" s="12">
        <v>0.1</v>
      </c>
      <c r="AP58" s="12">
        <v>0.1</v>
      </c>
      <c r="AQ58" s="12">
        <v>0.1</v>
      </c>
      <c r="AR58" s="12">
        <v>0.1</v>
      </c>
      <c r="AU58" s="3" t="s">
        <v>143</v>
      </c>
      <c r="AV58" s="3">
        <f>NPV(AV57,AI48:GC48)-Main!J8+Main!J7</f>
        <v>27041.7905184425</v>
      </c>
    </row>
    <row r="59" spans="1:48" x14ac:dyDescent="0.25">
      <c r="AU59" s="3" t="s">
        <v>4</v>
      </c>
      <c r="AV59" s="14">
        <f>AV58/Main!J5</f>
        <v>2007.9444078621339</v>
      </c>
    </row>
    <row r="60" spans="1:48" x14ac:dyDescent="0.25">
      <c r="AU60" s="3" t="s">
        <v>144</v>
      </c>
      <c r="AV60" s="12">
        <f>AV59/Main!J4-1</f>
        <v>0.37248421590029657</v>
      </c>
    </row>
    <row r="61" spans="1:48" x14ac:dyDescent="0.25">
      <c r="A61" s="3"/>
      <c r="B61" s="5" t="s">
        <v>58</v>
      </c>
      <c r="R61" s="3">
        <f>R74-R78-R79</f>
        <v>441.3</v>
      </c>
      <c r="AH61" s="3">
        <f>AH74-AH78-AH79</f>
        <v>441.3</v>
      </c>
      <c r="AI61" s="3">
        <f>AH61+AI48</f>
        <v>832.15541325000004</v>
      </c>
      <c r="AJ61" s="3">
        <f t="shared" ref="AJ61:AR61" si="193">AI61+AJ48</f>
        <v>1515.2591479605833</v>
      </c>
      <c r="AK61" s="3">
        <f t="shared" si="193"/>
        <v>2288.8381472288438</v>
      </c>
      <c r="AL61" s="3">
        <f t="shared" si="193"/>
        <v>3183.5932669581671</v>
      </c>
      <c r="AM61" s="3">
        <f t="shared" si="193"/>
        <v>4149.3599219615535</v>
      </c>
      <c r="AN61" s="3">
        <f t="shared" si="193"/>
        <v>5015.1739298625307</v>
      </c>
      <c r="AO61" s="3">
        <f t="shared" si="193"/>
        <v>6161.2841371103041</v>
      </c>
      <c r="AP61" s="3">
        <f t="shared" si="193"/>
        <v>7492.2954482758387</v>
      </c>
      <c r="AQ61" s="3">
        <f t="shared" si="193"/>
        <v>8881.2356222382787</v>
      </c>
      <c r="AR61" s="3">
        <f t="shared" si="193"/>
        <v>10418.818405784021</v>
      </c>
    </row>
    <row r="62" spans="1:48" x14ac:dyDescent="0.25">
      <c r="A62" s="3"/>
      <c r="B62" s="6" t="s">
        <v>57</v>
      </c>
    </row>
    <row r="63" spans="1:48" x14ac:dyDescent="0.25">
      <c r="A63" s="3"/>
      <c r="B63" s="5" t="s">
        <v>54</v>
      </c>
      <c r="R63" s="3">
        <v>647.66999999999996</v>
      </c>
      <c r="AH63" s="3">
        <f t="shared" ref="AH63:AH76" si="194">R63</f>
        <v>647.66999999999996</v>
      </c>
    </row>
    <row r="64" spans="1:48" x14ac:dyDescent="0.25">
      <c r="A64" s="3"/>
      <c r="B64" s="5" t="s">
        <v>55</v>
      </c>
      <c r="R64" s="3">
        <v>90.69</v>
      </c>
      <c r="AH64" s="3">
        <f t="shared" si="194"/>
        <v>90.69</v>
      </c>
    </row>
    <row r="65" spans="1:34" x14ac:dyDescent="0.25">
      <c r="A65" s="3"/>
      <c r="B65" s="5" t="s">
        <v>56</v>
      </c>
      <c r="R65" s="3">
        <v>107.8</v>
      </c>
      <c r="AH65" s="3">
        <f t="shared" si="194"/>
        <v>107.8</v>
      </c>
    </row>
    <row r="66" spans="1:34" x14ac:dyDescent="0.25">
      <c r="A66" s="3"/>
      <c r="B66" s="5" t="s">
        <v>59</v>
      </c>
      <c r="R66" s="3">
        <f>1.67+66.9</f>
        <v>68.570000000000007</v>
      </c>
      <c r="AH66" s="3">
        <f t="shared" si="194"/>
        <v>68.570000000000007</v>
      </c>
    </row>
    <row r="67" spans="1:34" x14ac:dyDescent="0.25">
      <c r="A67" s="3"/>
      <c r="B67" s="5" t="s">
        <v>60</v>
      </c>
      <c r="R67" s="3">
        <f>212.93+8.21</f>
        <v>221.14000000000001</v>
      </c>
      <c r="AH67" s="3">
        <f t="shared" si="194"/>
        <v>221.14000000000001</v>
      </c>
    </row>
    <row r="68" spans="1:34" x14ac:dyDescent="0.25">
      <c r="A68" s="3"/>
      <c r="B68" s="5" t="s">
        <v>61</v>
      </c>
      <c r="R68" s="3">
        <f>52.85+13.13</f>
        <v>65.98</v>
      </c>
      <c r="AH68" s="3">
        <f t="shared" si="194"/>
        <v>65.98</v>
      </c>
    </row>
    <row r="69" spans="1:34" x14ac:dyDescent="0.25">
      <c r="A69" s="3"/>
      <c r="B69" s="5" t="s">
        <v>62</v>
      </c>
      <c r="R69" s="3">
        <f>0.97+101.03</f>
        <v>102</v>
      </c>
      <c r="AH69" s="3">
        <f t="shared" si="194"/>
        <v>102</v>
      </c>
    </row>
    <row r="70" spans="1:34" x14ac:dyDescent="0.25">
      <c r="A70" s="3"/>
      <c r="B70" s="5" t="s">
        <v>63</v>
      </c>
      <c r="R70" s="3">
        <f>34.45</f>
        <v>34.450000000000003</v>
      </c>
      <c r="AH70" s="3">
        <f t="shared" si="194"/>
        <v>34.450000000000003</v>
      </c>
    </row>
    <row r="71" spans="1:34" x14ac:dyDescent="0.25">
      <c r="A71" s="3"/>
      <c r="B71" s="5" t="s">
        <v>64</v>
      </c>
      <c r="R71" s="3">
        <v>21.92</v>
      </c>
      <c r="AH71" s="3">
        <f t="shared" si="194"/>
        <v>21.92</v>
      </c>
    </row>
    <row r="72" spans="1:34" x14ac:dyDescent="0.25">
      <c r="A72" s="3"/>
      <c r="B72" s="5" t="s">
        <v>65</v>
      </c>
      <c r="R72" s="3">
        <v>523.72</v>
      </c>
      <c r="AH72" s="3">
        <f t="shared" si="194"/>
        <v>523.72</v>
      </c>
    </row>
    <row r="73" spans="1:34" x14ac:dyDescent="0.25">
      <c r="A73" s="3"/>
      <c r="B73" s="5" t="s">
        <v>66</v>
      </c>
      <c r="R73" s="3">
        <f>532.252</f>
        <v>532.25199999999995</v>
      </c>
      <c r="AH73" s="3">
        <f t="shared" si="194"/>
        <v>532.25199999999995</v>
      </c>
    </row>
    <row r="74" spans="1:34" x14ac:dyDescent="0.25">
      <c r="A74" s="3"/>
      <c r="B74" s="5" t="s">
        <v>67</v>
      </c>
      <c r="R74" s="3">
        <f>326.88+280.11</f>
        <v>606.99</v>
      </c>
      <c r="AH74" s="3">
        <f t="shared" si="194"/>
        <v>606.99</v>
      </c>
    </row>
    <row r="75" spans="1:34" x14ac:dyDescent="0.25">
      <c r="A75" s="3"/>
      <c r="B75" s="5" t="s">
        <v>68</v>
      </c>
      <c r="R75" s="3">
        <v>202.75</v>
      </c>
      <c r="AH75" s="3">
        <f t="shared" si="194"/>
        <v>202.75</v>
      </c>
    </row>
    <row r="76" spans="1:34" x14ac:dyDescent="0.25">
      <c r="A76" s="3"/>
      <c r="B76" s="7" t="s">
        <v>69</v>
      </c>
      <c r="R76" s="10">
        <f>SUM(R63:R75)</f>
        <v>3225.9319999999998</v>
      </c>
      <c r="AH76" s="10">
        <f t="shared" si="194"/>
        <v>3225.9319999999998</v>
      </c>
    </row>
    <row r="78" spans="1:34" x14ac:dyDescent="0.25">
      <c r="A78" s="3"/>
      <c r="B78" s="5" t="s">
        <v>71</v>
      </c>
      <c r="R78" s="3">
        <f>37.35+28.89</f>
        <v>66.240000000000009</v>
      </c>
      <c r="AH78" s="3">
        <f t="shared" ref="AH78:AH88" si="195">R78</f>
        <v>66.240000000000009</v>
      </c>
    </row>
    <row r="79" spans="1:34" x14ac:dyDescent="0.25">
      <c r="A79" s="3"/>
      <c r="B79" s="5" t="s">
        <v>70</v>
      </c>
      <c r="R79" s="3">
        <f>93.7+5.75</f>
        <v>99.45</v>
      </c>
      <c r="AH79" s="3">
        <f t="shared" si="195"/>
        <v>99.45</v>
      </c>
    </row>
    <row r="80" spans="1:34" x14ac:dyDescent="0.25">
      <c r="A80" s="3"/>
      <c r="B80" s="5" t="s">
        <v>72</v>
      </c>
      <c r="R80" s="3">
        <f>122.78+315.57</f>
        <v>438.35</v>
      </c>
      <c r="AH80" s="3">
        <f t="shared" si="195"/>
        <v>438.35</v>
      </c>
    </row>
    <row r="81" spans="1:34" x14ac:dyDescent="0.25">
      <c r="A81" s="3"/>
      <c r="B81" s="5" t="s">
        <v>73</v>
      </c>
      <c r="R81" s="3">
        <f>3.54+16.71</f>
        <v>20.25</v>
      </c>
      <c r="AH81" s="3">
        <f t="shared" si="195"/>
        <v>20.25</v>
      </c>
    </row>
    <row r="82" spans="1:34" x14ac:dyDescent="0.25">
      <c r="A82" s="3"/>
      <c r="B82" s="5" t="s">
        <v>76</v>
      </c>
      <c r="R82" s="3">
        <f>10.64+13.42</f>
        <v>24.060000000000002</v>
      </c>
      <c r="AH82" s="3">
        <f t="shared" si="195"/>
        <v>24.060000000000002</v>
      </c>
    </row>
    <row r="83" spans="1:34" x14ac:dyDescent="0.25">
      <c r="A83" s="3"/>
      <c r="B83" s="5" t="s">
        <v>74</v>
      </c>
      <c r="R83" s="3">
        <f>38+281.44</f>
        <v>319.44</v>
      </c>
      <c r="AH83" s="3">
        <f t="shared" si="195"/>
        <v>319.44</v>
      </c>
    </row>
    <row r="84" spans="1:34" x14ac:dyDescent="0.25">
      <c r="A84" s="3"/>
      <c r="B84" s="5" t="s">
        <v>75</v>
      </c>
      <c r="R84" s="3">
        <v>26.23</v>
      </c>
      <c r="AH84" s="3">
        <f t="shared" si="195"/>
        <v>26.23</v>
      </c>
    </row>
    <row r="85" spans="1:34" x14ac:dyDescent="0.25">
      <c r="A85" s="3"/>
      <c r="B85" s="5" t="s">
        <v>77</v>
      </c>
      <c r="R85" s="3">
        <v>3.99</v>
      </c>
      <c r="AH85" s="3">
        <f t="shared" si="195"/>
        <v>3.99</v>
      </c>
    </row>
    <row r="86" spans="1:34" x14ac:dyDescent="0.25">
      <c r="A86" s="3"/>
      <c r="B86" s="6" t="s">
        <v>78</v>
      </c>
      <c r="R86" s="9">
        <f>SUM(R78:R85)</f>
        <v>998.01</v>
      </c>
      <c r="AH86" s="9">
        <f t="shared" si="195"/>
        <v>998.01</v>
      </c>
    </row>
    <row r="87" spans="1:34" x14ac:dyDescent="0.25">
      <c r="A87" s="3"/>
      <c r="B87" s="5" t="s">
        <v>79</v>
      </c>
      <c r="R87" s="3">
        <v>2228.1999999999998</v>
      </c>
      <c r="AH87" s="3">
        <f t="shared" si="195"/>
        <v>2228.1999999999998</v>
      </c>
    </row>
    <row r="88" spans="1:34" x14ac:dyDescent="0.25">
      <c r="A88" s="3"/>
      <c r="B88" s="7" t="s">
        <v>80</v>
      </c>
      <c r="R88" s="10">
        <f>R86+R87</f>
        <v>3226.21</v>
      </c>
      <c r="AH88" s="10">
        <f t="shared" si="195"/>
        <v>3226.21</v>
      </c>
    </row>
    <row r="91" spans="1:34" x14ac:dyDescent="0.25">
      <c r="A91" s="3"/>
      <c r="B91" s="5" t="s">
        <v>81</v>
      </c>
      <c r="C91" s="3">
        <f>C48</f>
        <v>-3.039999999999992</v>
      </c>
      <c r="D91" s="3">
        <f t="shared" ref="D91:R91" si="196">D48</f>
        <v>13.950800000000001</v>
      </c>
      <c r="E91" s="3">
        <f t="shared" si="196"/>
        <v>22.199999999999967</v>
      </c>
      <c r="F91" s="3">
        <f t="shared" si="196"/>
        <v>17.150000000000041</v>
      </c>
      <c r="G91" s="3">
        <f t="shared" si="196"/>
        <v>20.663199999999936</v>
      </c>
      <c r="H91" s="3">
        <f t="shared" si="196"/>
        <v>18.870000000000005</v>
      </c>
      <c r="I91" s="3">
        <f t="shared" si="196"/>
        <v>18.537099999999967</v>
      </c>
      <c r="J91" s="3">
        <f t="shared" si="196"/>
        <v>21.054599999999965</v>
      </c>
      <c r="K91" s="3">
        <f t="shared" si="196"/>
        <v>22.620000000000015</v>
      </c>
      <c r="L91" s="3">
        <f t="shared" si="196"/>
        <v>-11.835499999999929</v>
      </c>
      <c r="M91" s="3">
        <f t="shared" si="196"/>
        <v>38.802800000000111</v>
      </c>
      <c r="N91" s="3">
        <f t="shared" si="196"/>
        <v>53.010000000000034</v>
      </c>
      <c r="O91" s="3">
        <f t="shared" si="196"/>
        <v>67.639699999999948</v>
      </c>
      <c r="P91" s="3">
        <f t="shared" si="196"/>
        <v>70.941699999999955</v>
      </c>
      <c r="Q91" s="3">
        <f t="shared" si="196"/>
        <v>75.025499999999923</v>
      </c>
      <c r="R91" s="3">
        <f t="shared" si="196"/>
        <v>83.414599999999936</v>
      </c>
      <c r="AE91" s="3">
        <f>AE48</f>
        <v>-18.760000000000058</v>
      </c>
      <c r="AF91" s="3">
        <f t="shared" ref="AF91:AH91" si="197">AF48</f>
        <v>77.81</v>
      </c>
      <c r="AG91" s="3">
        <f t="shared" si="197"/>
        <v>134.66039999999981</v>
      </c>
      <c r="AH91" s="3">
        <f t="shared" si="197"/>
        <v>297.02150000000051</v>
      </c>
    </row>
    <row r="92" spans="1:34" x14ac:dyDescent="0.25">
      <c r="A92" s="3"/>
      <c r="B92" s="5" t="s">
        <v>82</v>
      </c>
      <c r="C92" s="3">
        <v>-3.0247000000000002</v>
      </c>
      <c r="D92" s="3">
        <v>13.9406</v>
      </c>
      <c r="E92" s="3">
        <v>22.197800000000001</v>
      </c>
      <c r="F92" s="3">
        <v>17.161899999999999</v>
      </c>
      <c r="G92" s="3">
        <v>20.6433</v>
      </c>
      <c r="H92" s="3">
        <v>18.847300000000001</v>
      </c>
      <c r="I92" s="3">
        <v>18.518699999999999</v>
      </c>
      <c r="J92" s="3">
        <v>27.299199999999999</v>
      </c>
      <c r="K92" s="3">
        <v>22.633800000000001</v>
      </c>
      <c r="L92" s="3">
        <v>-11.8864</v>
      </c>
      <c r="M92" s="3">
        <v>39.228400000000001</v>
      </c>
      <c r="N92" s="3">
        <v>53.007399999999997</v>
      </c>
      <c r="O92" s="3">
        <v>67.571899999999999</v>
      </c>
      <c r="P92" s="3">
        <v>70.894800000000004</v>
      </c>
      <c r="Q92" s="3">
        <v>75.025499999999994</v>
      </c>
      <c r="R92" s="3">
        <v>83.414599999999993</v>
      </c>
      <c r="AE92" s="3">
        <f>AE91</f>
        <v>-18.760000000000058</v>
      </c>
      <c r="AF92" s="3">
        <f t="shared" ref="AF92:AH92" si="198">AF91</f>
        <v>77.81</v>
      </c>
      <c r="AG92" s="3">
        <f t="shared" si="198"/>
        <v>134.66039999999981</v>
      </c>
      <c r="AH92" s="3">
        <f t="shared" si="198"/>
        <v>297.02150000000051</v>
      </c>
    </row>
    <row r="94" spans="1:34" x14ac:dyDescent="0.25">
      <c r="A94" s="3"/>
      <c r="B94" s="6" t="s">
        <v>83</v>
      </c>
    </row>
    <row r="95" spans="1:34" x14ac:dyDescent="0.25">
      <c r="A95" s="3"/>
      <c r="B95" s="5" t="s">
        <v>31</v>
      </c>
      <c r="C95" s="3">
        <f>C92+C47</f>
        <v>-4.4546999999999999</v>
      </c>
      <c r="D95" s="3">
        <f t="shared" ref="D95:R95" si="199">D92+D47</f>
        <v>19.300599999999999</v>
      </c>
      <c r="E95" s="3">
        <f t="shared" si="199"/>
        <v>29.0778</v>
      </c>
      <c r="F95" s="3">
        <f t="shared" si="199"/>
        <v>20.561899999999998</v>
      </c>
      <c r="G95" s="3">
        <f t="shared" si="199"/>
        <v>28.2333</v>
      </c>
      <c r="H95" s="3">
        <f t="shared" si="199"/>
        <v>25.847300000000001</v>
      </c>
      <c r="I95" s="3">
        <f t="shared" si="199"/>
        <v>25.7987</v>
      </c>
      <c r="J95" s="3">
        <f t="shared" si="199"/>
        <v>33.549199999999999</v>
      </c>
      <c r="K95" s="3">
        <f t="shared" si="199"/>
        <v>28.363800000000001</v>
      </c>
      <c r="L95" s="3">
        <f t="shared" si="199"/>
        <v>-0.18640000000000079</v>
      </c>
      <c r="M95" s="3">
        <f t="shared" si="199"/>
        <v>55.098399999999998</v>
      </c>
      <c r="N95" s="3">
        <f t="shared" si="199"/>
        <v>75.168899999999994</v>
      </c>
      <c r="O95" s="3">
        <f t="shared" si="199"/>
        <v>90.041899999999998</v>
      </c>
      <c r="P95" s="3">
        <f t="shared" si="199"/>
        <v>94.884799999999998</v>
      </c>
      <c r="Q95" s="3">
        <f t="shared" si="199"/>
        <v>100.11149999999999</v>
      </c>
      <c r="R95" s="3">
        <f t="shared" si="199"/>
        <v>111.9973</v>
      </c>
      <c r="AG95" s="3">
        <f>AG92+AG47</f>
        <v>190.12039999999982</v>
      </c>
      <c r="AH95" s="3">
        <f>AH92+AH47</f>
        <v>397.1502000000005</v>
      </c>
    </row>
    <row r="96" spans="1:34" x14ac:dyDescent="0.25">
      <c r="A96" s="3"/>
      <c r="B96" s="5" t="s">
        <v>26</v>
      </c>
      <c r="K96" s="3">
        <f>CF!$F$33*CF!F4</f>
        <v>4.9321517390068523</v>
      </c>
      <c r="L96" s="3">
        <f>CF!$F$32*CF!F4</f>
        <v>5.7776482609931472</v>
      </c>
      <c r="M96" s="3">
        <f>CF!$G$33*CF!G4</f>
        <v>4.9883124934653589</v>
      </c>
      <c r="N96" s="3">
        <f>CF!$G$32*CF!G4</f>
        <v>6.8053875065346405</v>
      </c>
      <c r="O96" s="3">
        <f>CF!$H$33*CF!H4</f>
        <v>6.4870472122197604</v>
      </c>
      <c r="P96" s="3">
        <f>CF!$H$32*CF!H4</f>
        <v>6.83595278778024</v>
      </c>
      <c r="Q96" s="3">
        <f>CF!$I$33*CF!I4</f>
        <v>6.4993264204716974</v>
      </c>
      <c r="R96" s="3">
        <f>CF!$I$32*CF!I4</f>
        <v>7.2788735795283008</v>
      </c>
      <c r="AG96" s="3">
        <f>CF!O4</f>
        <v>22.503499999999999</v>
      </c>
      <c r="AH96" s="3">
        <f>CF!P4</f>
        <v>27.101199999999999</v>
      </c>
    </row>
    <row r="97" spans="1:34" x14ac:dyDescent="0.25">
      <c r="A97" s="3"/>
      <c r="B97" s="5" t="s">
        <v>85</v>
      </c>
      <c r="K97" s="3">
        <f>CF!$F$33*CF!F5</f>
        <v>16.328490286784149</v>
      </c>
      <c r="L97" s="3">
        <f>CF!$F$32*CF!F5</f>
        <v>19.12760971321585</v>
      </c>
      <c r="M97" s="3">
        <f>CF!$G$33*CF!G5</f>
        <v>19.15630089086056</v>
      </c>
      <c r="N97" s="3">
        <f>CF!$G$32*CF!G5</f>
        <v>26.134299109139445</v>
      </c>
      <c r="O97" s="3">
        <f>CF!$H$33*CF!H5</f>
        <v>19.177032048103381</v>
      </c>
      <c r="P97" s="3">
        <f>CF!$H$32*CF!H5</f>
        <v>20.208467951896619</v>
      </c>
      <c r="Q97" s="3">
        <f>CF!$I$33*CF!I5</f>
        <v>16.070575403254718</v>
      </c>
      <c r="R97" s="3">
        <f>CF!$I$32*CF!I5</f>
        <v>17.998124596745281</v>
      </c>
      <c r="AG97" s="3">
        <f>CF!O5</f>
        <v>80.746700000000004</v>
      </c>
      <c r="AH97" s="3">
        <f>CF!P5</f>
        <v>73.4542</v>
      </c>
    </row>
    <row r="98" spans="1:34" x14ac:dyDescent="0.25">
      <c r="A98" s="3"/>
      <c r="B98" s="5" t="s">
        <v>86</v>
      </c>
      <c r="K98" s="3">
        <f>CF!$F$33*CF!F6</f>
        <v>-0.58855346714698298</v>
      </c>
      <c r="L98" s="3">
        <f>CF!$F$32*CF!F6</f>
        <v>-0.68944653285301705</v>
      </c>
      <c r="M98" s="3">
        <f>CF!$G$33*CF!G6</f>
        <v>9.2525103334451533</v>
      </c>
      <c r="N98" s="3">
        <f>CF!$G$32*CF!G6</f>
        <v>12.622889666554846</v>
      </c>
      <c r="O98" s="3">
        <f>CF!$H$33*CF!H6</f>
        <v>2.1896158007469988</v>
      </c>
      <c r="P98" s="3">
        <f>CF!$H$32*CF!H6</f>
        <v>2.307384199253002</v>
      </c>
      <c r="Q98" s="3">
        <f>CF!$I$33*CF!I6</f>
        <v>2.8422465499056595</v>
      </c>
      <c r="R98" s="3">
        <f>CF!$I$32*CF!I6</f>
        <v>3.183153450094339</v>
      </c>
      <c r="AG98" s="3">
        <f>CF!O6</f>
        <v>20.5974</v>
      </c>
      <c r="AH98" s="3">
        <f>CF!P6</f>
        <v>10.522399999999999</v>
      </c>
    </row>
    <row r="99" spans="1:34" x14ac:dyDescent="0.25">
      <c r="A99" s="3"/>
      <c r="B99" s="5" t="s">
        <v>100</v>
      </c>
      <c r="K99" s="3">
        <f>CF!$F$33*CF!F7</f>
        <v>-2.3057664313861612</v>
      </c>
      <c r="L99" s="3">
        <f>CF!$F$32*CF!F7</f>
        <v>-2.7010335686138389</v>
      </c>
      <c r="M99" s="3">
        <f>CF!$G$33*CF!G7</f>
        <v>-4.0780936066073368</v>
      </c>
      <c r="N99" s="3">
        <f>CF!$G$32*CF!G7</f>
        <v>-5.5636063933926634</v>
      </c>
      <c r="O99" s="3">
        <f>CF!$H$33*CF!H7</f>
        <v>0.53184730690592541</v>
      </c>
      <c r="P99" s="3">
        <f>CF!$H$32*CF!H7</f>
        <v>0.56045269309407464</v>
      </c>
      <c r="Q99" s="3">
        <f>CF!$I$33*CF!I7</f>
        <v>-0.24920484155660383</v>
      </c>
      <c r="R99" s="3">
        <f>CF!$I$32*CF!I7</f>
        <v>-0.27909515844339627</v>
      </c>
      <c r="AG99" s="3">
        <f>CF!O7</f>
        <v>-14.6485</v>
      </c>
      <c r="AH99" s="3">
        <f>CF!P7</f>
        <v>0.56399999999999995</v>
      </c>
    </row>
    <row r="100" spans="1:34" x14ac:dyDescent="0.25">
      <c r="A100" s="3"/>
      <c r="B100" s="5" t="s">
        <v>88</v>
      </c>
      <c r="K100" s="3">
        <f>CF!$F$33*CF!F8</f>
        <v>-2.1644767571133176E-3</v>
      </c>
      <c r="L100" s="3">
        <f>CF!$F$32*CF!F8</f>
        <v>-2.5355232428866826E-3</v>
      </c>
      <c r="M100" s="3">
        <f>CF!$G$33*CF!G8</f>
        <v>-0.69399960481256606</v>
      </c>
      <c r="N100" s="3">
        <f>CF!$G$32*CF!G8</f>
        <v>-0.94680039518743397</v>
      </c>
      <c r="O100" s="3">
        <f>CF!$H$33*CF!H8</f>
        <v>-2.8211327439466554</v>
      </c>
      <c r="P100" s="3">
        <f>CF!$H$32*CF!H8</f>
        <v>-2.9728672560533442</v>
      </c>
      <c r="Q100" s="3">
        <f>CF!$I$33*CF!I8</f>
        <v>-2.4503491765094343</v>
      </c>
      <c r="R100" s="3">
        <f>CF!$I$32*CF!I8</f>
        <v>-2.744250823490566</v>
      </c>
      <c r="AG100" s="3">
        <f>CF!O8</f>
        <v>-1.6455</v>
      </c>
      <c r="AH100" s="3">
        <f>CF!P8</f>
        <v>-10.9886</v>
      </c>
    </row>
    <row r="101" spans="1:34" x14ac:dyDescent="0.25">
      <c r="A101" s="3"/>
      <c r="B101" s="5" t="s">
        <v>87</v>
      </c>
      <c r="K101" s="3">
        <f>CF!$F$33*CF!F9</f>
        <v>-1.271008383395116</v>
      </c>
      <c r="L101" s="3">
        <f>CF!$F$32*CF!F9</f>
        <v>-1.488891616604884</v>
      </c>
      <c r="M101" s="3">
        <f>CF!$G$33*CF!G9</f>
        <v>-2.0055268930882884</v>
      </c>
      <c r="N101" s="3">
        <f>CF!$G$32*CF!G9</f>
        <v>-2.7360731069117117</v>
      </c>
      <c r="O101" s="3">
        <f>CF!$H$33*CF!H9</f>
        <v>-2.692784350556193</v>
      </c>
      <c r="P101" s="3">
        <f>CF!$H$32*CF!H9</f>
        <v>-2.8376156494438072</v>
      </c>
      <c r="Q101" s="3">
        <f>CF!$I$33*CF!I9</f>
        <v>-6.6114992603773572</v>
      </c>
      <c r="R101" s="3">
        <f>CF!$I$32*CF!I9</f>
        <v>-7.404500739622641</v>
      </c>
      <c r="AG101" s="3">
        <f>CF!O9</f>
        <v>-7.5015000000000001</v>
      </c>
      <c r="AH101" s="3">
        <f>CF!P9</f>
        <v>-19.546399999999998</v>
      </c>
    </row>
    <row r="102" spans="1:34" x14ac:dyDescent="0.25">
      <c r="A102" s="3"/>
      <c r="B102" s="5" t="s">
        <v>19</v>
      </c>
      <c r="K102" s="3">
        <f>CF!$F$33*CF!F10</f>
        <v>20.862562513269992</v>
      </c>
      <c r="L102" s="3">
        <f>CF!$F$32*CF!F10</f>
        <v>24.438937486730012</v>
      </c>
      <c r="M102" s="3">
        <f>CF!$G$33*CF!G10</f>
        <v>1.7264128394462759</v>
      </c>
      <c r="N102" s="3">
        <f>CF!$G$32*CF!G10</f>
        <v>2.355287160553722</v>
      </c>
      <c r="O102" s="3">
        <f>CF!$H$33*CF!H10</f>
        <v>0.29214353579012653</v>
      </c>
      <c r="P102" s="3">
        <f>CF!$H$32*CF!H10</f>
        <v>0.30785646420987345</v>
      </c>
      <c r="Q102" s="3">
        <f>CF!$I$33*CF!I10</f>
        <v>-0.40562415910377358</v>
      </c>
      <c r="R102" s="3">
        <f>CF!$I$32*CF!I10</f>
        <v>-0.45427584089622641</v>
      </c>
      <c r="AG102" s="3">
        <f>CF!O10</f>
        <v>49.383200000000002</v>
      </c>
      <c r="AH102" s="3">
        <f>CF!P10</f>
        <v>-0.25990000000000002</v>
      </c>
    </row>
    <row r="103" spans="1:34" x14ac:dyDescent="0.25">
      <c r="A103" s="3"/>
      <c r="B103" s="5" t="s">
        <v>89</v>
      </c>
      <c r="K103" s="3">
        <f>CF!$F$33*CF!F11</f>
        <v>-26.3352347564947</v>
      </c>
      <c r="L103" s="3">
        <f>CF!$F$32*CF!F11</f>
        <v>-30.84976524350531</v>
      </c>
      <c r="M103" s="3">
        <f>CF!$G$33*CF!G11</f>
        <v>-52.065535442279071</v>
      </c>
      <c r="N103" s="3">
        <f>CF!$G$32*CF!G11</f>
        <v>-71.031264557720959</v>
      </c>
      <c r="O103" s="3">
        <f>CF!$H$33*CF!H11</f>
        <v>-170.94048637919778</v>
      </c>
      <c r="P103" s="3">
        <f>CF!$H$32*CF!H11</f>
        <v>-180.13451362080221</v>
      </c>
      <c r="Q103" s="3">
        <f>CF!$I$33*CF!I11</f>
        <v>31.39867793009434</v>
      </c>
      <c r="R103" s="3">
        <f>CF!$I$32*CF!I11</f>
        <v>35.164722069905665</v>
      </c>
      <c r="AG103" s="3">
        <f>CF!O11</f>
        <v>-180.28180000000003</v>
      </c>
      <c r="AH103" s="3">
        <f>CF!P11</f>
        <v>-284.51159999999999</v>
      </c>
    </row>
    <row r="104" spans="1:34" x14ac:dyDescent="0.25">
      <c r="A104" s="3"/>
      <c r="B104" s="5" t="s">
        <v>90</v>
      </c>
      <c r="K104" s="3">
        <f>CF!$F$33*CF!F12</f>
        <v>-9.2142236077283517</v>
      </c>
      <c r="L104" s="3">
        <f>CF!$F$32*CF!F12</f>
        <v>-10.793776392271647</v>
      </c>
      <c r="M104" s="3">
        <f>CF!$G$33*CF!G12</f>
        <v>-19.432877159502038</v>
      </c>
      <c r="N104" s="3">
        <f>CF!$G$32*CF!G12</f>
        <v>-26.511622840497967</v>
      </c>
      <c r="O104" s="3">
        <f>CF!$H$33*CF!H12</f>
        <v>-14.059991946971421</v>
      </c>
      <c r="P104" s="3">
        <f>CF!$H$32*CF!H12</f>
        <v>-14.81620805302858</v>
      </c>
      <c r="Q104" s="3">
        <f>CF!$I$33*CF!I12</f>
        <v>-33.836196571509433</v>
      </c>
      <c r="R104" s="3">
        <f>CF!$I$32*CF!I12</f>
        <v>-37.894603428490569</v>
      </c>
      <c r="AG104" s="3">
        <f>CF!O12</f>
        <v>-65.952500000000001</v>
      </c>
      <c r="AH104" s="3">
        <f>CF!P12</f>
        <v>-100.607</v>
      </c>
    </row>
    <row r="105" spans="1:34" x14ac:dyDescent="0.25">
      <c r="A105" s="3"/>
      <c r="B105" s="6" t="s">
        <v>91</v>
      </c>
      <c r="K105" s="9">
        <f>SUM(K95:K104)</f>
        <v>30.770053416152571</v>
      </c>
      <c r="L105" s="9">
        <f t="shared" ref="L105:Q105" si="200">SUM(L95:L104)</f>
        <v>2.6323465838474274</v>
      </c>
      <c r="M105" s="9">
        <f t="shared" si="200"/>
        <v>11.945903850928051</v>
      </c>
      <c r="N105" s="9">
        <f t="shared" si="200"/>
        <v>16.297396149071897</v>
      </c>
      <c r="O105" s="9">
        <f t="shared" si="200"/>
        <v>-71.794809516905843</v>
      </c>
      <c r="P105" s="9">
        <f t="shared" si="200"/>
        <v>-75.656290483094111</v>
      </c>
      <c r="Q105" s="9">
        <f t="shared" si="200"/>
        <v>113.36945229466981</v>
      </c>
      <c r="R105" s="9">
        <f>SUM(R95:R104)</f>
        <v>126.84544770533014</v>
      </c>
      <c r="AG105" s="9">
        <f>SUM(AG95:AG104)</f>
        <v>93.321399999999741</v>
      </c>
      <c r="AH105" s="9">
        <f>SUM(AH95:AH104)</f>
        <v>92.878500000000514</v>
      </c>
    </row>
    <row r="107" spans="1:34" x14ac:dyDescent="0.25">
      <c r="A107" s="3"/>
      <c r="B107" s="5" t="s">
        <v>92</v>
      </c>
      <c r="K107" s="3">
        <f>CF!$F$33*CF!F15</f>
        <v>-3.0531556503476938</v>
      </c>
      <c r="L107" s="3">
        <f>CF!$F$32*CF!F15</f>
        <v>-3.5765443496523059</v>
      </c>
      <c r="M107" s="3">
        <f>CF!$G$33*CF!G15</f>
        <v>-12.637915524156869</v>
      </c>
      <c r="N107" s="3">
        <f>CF!$G$32*CF!G15</f>
        <v>-17.241484475843137</v>
      </c>
      <c r="O107" s="3">
        <f>CF!$H$33*CF!H15</f>
        <v>-28.466466127389932</v>
      </c>
      <c r="P107" s="3">
        <f>CF!$H$32*CF!H15</f>
        <v>-29.997533872610067</v>
      </c>
      <c r="Q107" s="3">
        <f>CF!$I$33*CF!I15</f>
        <v>-49.557658775377362</v>
      </c>
      <c r="R107" s="3">
        <f>CF!$I$32*CF!I15</f>
        <v>-55.501741224622648</v>
      </c>
      <c r="AG107" s="3">
        <f>CF!O15</f>
        <v>-36.509100000000004</v>
      </c>
      <c r="AH107" s="3">
        <f>CF!P15</f>
        <v>-163.52340000000001</v>
      </c>
    </row>
    <row r="108" spans="1:34" x14ac:dyDescent="0.25">
      <c r="A108" s="3"/>
      <c r="B108" s="5" t="s">
        <v>60</v>
      </c>
      <c r="K108" s="3">
        <f>CF!$F$33*CF!F16</f>
        <v>-13.725131327643386</v>
      </c>
      <c r="L108" s="3">
        <f>CF!$F$32*CF!F16</f>
        <v>-16.077968672356615</v>
      </c>
      <c r="M108" s="3">
        <f>CF!$G$33*CF!G16</f>
        <v>-7.3231592867895419</v>
      </c>
      <c r="N108" s="3">
        <f>CF!$G$32*CF!G16</f>
        <v>-9.9907407132104478</v>
      </c>
      <c r="O108" s="3">
        <f>CF!$H$33*CF!H16</f>
        <v>-6.3309451829292334</v>
      </c>
      <c r="P108" s="3">
        <f>CF!$H$32*CF!H16</f>
        <v>-6.671454817070761</v>
      </c>
      <c r="Q108" s="3">
        <f>CF!$I$33*CF!I16</f>
        <v>-175.02048014235851</v>
      </c>
      <c r="R108" s="3">
        <f>CF!$I$32*CF!I16</f>
        <v>-196.01291985764152</v>
      </c>
      <c r="AG108" s="3">
        <f>CF!O16</f>
        <v>-47.11699999999999</v>
      </c>
      <c r="AH108" s="3">
        <f>CF!P16</f>
        <v>-384.03579999999999</v>
      </c>
    </row>
    <row r="109" spans="1:34" x14ac:dyDescent="0.25">
      <c r="A109" s="3"/>
      <c r="B109" s="5" t="s">
        <v>93</v>
      </c>
      <c r="K109" s="3">
        <f>CF!$F$33*CF!F17</f>
        <v>0</v>
      </c>
      <c r="L109" s="3">
        <f>CF!$F$32*CF!F17</f>
        <v>0</v>
      </c>
      <c r="M109" s="3">
        <f>CF!$G$33*CF!G17</f>
        <v>0</v>
      </c>
      <c r="N109" s="3">
        <f>CF!$G$32*CF!G17</f>
        <v>0</v>
      </c>
      <c r="O109" s="3">
        <f>CF!$H$33*CF!H17</f>
        <v>0</v>
      </c>
      <c r="P109" s="3">
        <f>CF!$H$32*CF!H17</f>
        <v>0</v>
      </c>
      <c r="Q109" s="3">
        <f>CF!$I$33*CF!I17</f>
        <v>0</v>
      </c>
      <c r="R109" s="3">
        <f>CF!$I$32*CF!I17</f>
        <v>0</v>
      </c>
      <c r="AG109" s="3">
        <f>CF!O17</f>
        <v>0</v>
      </c>
      <c r="AH109" s="3">
        <f>CF!P17</f>
        <v>0</v>
      </c>
    </row>
    <row r="110" spans="1:34" x14ac:dyDescent="0.25">
      <c r="A110" s="3"/>
      <c r="B110" s="5" t="s">
        <v>19</v>
      </c>
      <c r="K110" s="3">
        <f>CF!$F$33*CF!F18</f>
        <v>0.3982637233088504</v>
      </c>
      <c r="L110" s="3">
        <f>CF!$F$32*CF!F18</f>
        <v>0.46653627669114961</v>
      </c>
      <c r="M110" s="3">
        <f>CF!$G$33*CF!G18</f>
        <v>2.2391722988040743</v>
      </c>
      <c r="N110" s="3">
        <f>CF!$G$32*CF!G18</f>
        <v>3.0548277011959262</v>
      </c>
      <c r="O110" s="3">
        <f>CF!$H$33*CF!H18</f>
        <v>1.9737704183873934</v>
      </c>
      <c r="P110" s="3">
        <f>CF!$H$32*CF!H18</f>
        <v>2.0799295816126069</v>
      </c>
      <c r="Q110" s="3">
        <f>CF!$I$33*CF!I18</f>
        <v>5.866479145377359</v>
      </c>
      <c r="R110" s="3">
        <f>CF!$I$32*CF!I18</f>
        <v>6.5701208546226431</v>
      </c>
      <c r="AG110" s="3">
        <f>CF!O18</f>
        <v>6.1588000000000003</v>
      </c>
      <c r="AH110" s="3">
        <f>CF!P18</f>
        <v>16.490300000000001</v>
      </c>
    </row>
    <row r="111" spans="1:34" x14ac:dyDescent="0.25">
      <c r="A111" s="3"/>
      <c r="B111" s="6" t="s">
        <v>94</v>
      </c>
      <c r="K111" s="9">
        <f>SUM(K107:K110)</f>
        <v>-16.380023254682229</v>
      </c>
      <c r="L111" s="9">
        <f t="shared" ref="L111:Q111" si="201">SUM(L107:L110)</f>
        <v>-19.187976745317769</v>
      </c>
      <c r="M111" s="9">
        <f t="shared" si="201"/>
        <v>-17.721902512142336</v>
      </c>
      <c r="N111" s="9">
        <f t="shared" si="201"/>
        <v>-24.177397487857661</v>
      </c>
      <c r="O111" s="9">
        <f t="shared" si="201"/>
        <v>-32.823640891931767</v>
      </c>
      <c r="P111" s="9">
        <f t="shared" si="201"/>
        <v>-34.589059108068227</v>
      </c>
      <c r="Q111" s="9">
        <f t="shared" si="201"/>
        <v>-218.71165977235853</v>
      </c>
      <c r="R111" s="9">
        <f>SUM(R107:R110)</f>
        <v>-244.94454022764154</v>
      </c>
      <c r="AG111" s="9">
        <f>SUM(AG107:AG110)</f>
        <v>-77.467299999999994</v>
      </c>
      <c r="AH111" s="9">
        <f>SUM(AH107:AH110)</f>
        <v>-531.06889999999999</v>
      </c>
    </row>
    <row r="113" spans="1:34" x14ac:dyDescent="0.25">
      <c r="A113" s="3"/>
      <c r="B113" s="5" t="s">
        <v>95</v>
      </c>
      <c r="K113" s="3">
        <f>CF!$F$33*CF!F21</f>
        <v>0</v>
      </c>
      <c r="L113" s="3">
        <f>CF!$F$32*CF!F21</f>
        <v>0</v>
      </c>
      <c r="M113" s="3">
        <f>CF!$G$33*CF!G21</f>
        <v>0</v>
      </c>
      <c r="N113" s="3">
        <f>CF!$G$32*CF!G21</f>
        <v>0</v>
      </c>
      <c r="O113" s="3">
        <f>CF!$H$33*CF!H21</f>
        <v>140.29219494534857</v>
      </c>
      <c r="P113" s="3">
        <f>CF!$H$32*CF!H21</f>
        <v>147.83780505465137</v>
      </c>
      <c r="Q113" s="3">
        <f>CF!$I$33*CF!I21</f>
        <v>323.85199848485854</v>
      </c>
      <c r="R113" s="3">
        <f>CF!$I$32*CF!I21</f>
        <v>362.69570151514154</v>
      </c>
      <c r="AG113" s="3">
        <f>CF!O21</f>
        <v>0</v>
      </c>
      <c r="AH113" s="3">
        <f>CF!P21</f>
        <v>974.67769999999996</v>
      </c>
    </row>
    <row r="114" spans="1:34" x14ac:dyDescent="0.25">
      <c r="A114" s="3"/>
      <c r="B114" s="5" t="s">
        <v>96</v>
      </c>
      <c r="K114" s="3">
        <f>CF!$F$33*CF!F22</f>
        <v>66.201258459462167</v>
      </c>
      <c r="L114" s="3">
        <f>CF!$F$32*CF!F22</f>
        <v>77.549841540537813</v>
      </c>
      <c r="M114" s="3">
        <f>CF!$G$33*CF!G22</f>
        <v>-14.037123284201011</v>
      </c>
      <c r="N114" s="3">
        <f>CF!$G$32*CF!G22</f>
        <v>-19.150376715798963</v>
      </c>
      <c r="O114" s="3">
        <f>CF!$H$33*CF!H22</f>
        <v>5.0621658069927156</v>
      </c>
      <c r="P114" s="3">
        <f>CF!$H$32*CF!H22</f>
        <v>5.3344341930072838</v>
      </c>
      <c r="Q114" s="3">
        <f>CF!$I$33*CF!I22</f>
        <v>-26.881386155188679</v>
      </c>
      <c r="R114" s="3">
        <f>CF!$I$32*CF!I22</f>
        <v>-30.105613844811323</v>
      </c>
      <c r="AG114" s="3">
        <f>CF!O22</f>
        <v>110.56360000000001</v>
      </c>
      <c r="AH114" s="3">
        <f>CF!P22</f>
        <v>-46.590400000000002</v>
      </c>
    </row>
    <row r="115" spans="1:34" x14ac:dyDescent="0.25">
      <c r="A115" s="3"/>
      <c r="B115" s="5" t="s">
        <v>97</v>
      </c>
      <c r="K115" s="3">
        <f>CF!$F$33*CF!F23</f>
        <v>-1.7561735458672181</v>
      </c>
      <c r="L115" s="3">
        <f>CF!$F$32*CF!F23</f>
        <v>-2.057226454132782</v>
      </c>
      <c r="M115" s="3">
        <f>CF!$G$33*CF!G23</f>
        <v>-2.044989449846585</v>
      </c>
      <c r="N115" s="3">
        <f>CF!$G$32*CF!G23</f>
        <v>-2.789910550153416</v>
      </c>
      <c r="O115" s="3">
        <f>CF!$H$33*CF!H23</f>
        <v>-3.2811127410482097</v>
      </c>
      <c r="P115" s="3">
        <f>CF!$H$32*CF!H23</f>
        <v>-3.45758725895179</v>
      </c>
      <c r="Q115" s="3">
        <f>CF!$I$33*CF!I23</f>
        <v>-67.73197022325472</v>
      </c>
      <c r="R115" s="3">
        <f>CF!$I$32*CF!I23</f>
        <v>-75.855929776745299</v>
      </c>
      <c r="AG115" s="3">
        <f>CF!O23</f>
        <v>-8.6483000000000008</v>
      </c>
      <c r="AH115" s="3">
        <f>CF!P23</f>
        <v>-150.32660000000001</v>
      </c>
    </row>
    <row r="116" spans="1:34" x14ac:dyDescent="0.25">
      <c r="A116" s="3"/>
      <c r="B116" s="5" t="s">
        <v>25</v>
      </c>
      <c r="K116" s="3">
        <f>CF!$F$33*CF!F24</f>
        <v>-9.555750408382659</v>
      </c>
      <c r="L116" s="3">
        <f>CF!$F$32*CF!F24</f>
        <v>-11.193849591617342</v>
      </c>
      <c r="M116" s="3">
        <f>CF!$G$33*CF!G24</f>
        <v>-13.190349022356337</v>
      </c>
      <c r="N116" s="3">
        <f>CF!$G$32*CF!G24</f>
        <v>-17.995150977643661</v>
      </c>
      <c r="O116" s="3">
        <f>CF!$H$33*CF!H24</f>
        <v>-11.518002351472232</v>
      </c>
      <c r="P116" s="3">
        <f>CF!$H$32*CF!H24</f>
        <v>-12.137497648527768</v>
      </c>
      <c r="Q116" s="3">
        <f>CF!$I$33*CF!I24</f>
        <v>-11.008929308537736</v>
      </c>
      <c r="R116" s="3">
        <f>CF!$I$32*CF!I24</f>
        <v>-12.329370691462264</v>
      </c>
      <c r="AG116" s="3">
        <f>CF!O24</f>
        <v>-51.935099999999998</v>
      </c>
      <c r="AH116" s="3">
        <f>CF!P24</f>
        <v>-46.9938</v>
      </c>
    </row>
    <row r="117" spans="1:34" x14ac:dyDescent="0.25">
      <c r="A117" s="3"/>
      <c r="B117" s="5" t="s">
        <v>98</v>
      </c>
      <c r="K117" s="3">
        <f>CF!$F$33*CF!F25</f>
        <v>0</v>
      </c>
      <c r="L117" s="3">
        <f>CF!$F$32*CF!F25</f>
        <v>0</v>
      </c>
      <c r="M117" s="3">
        <f>CF!$G$33*CF!G25</f>
        <v>-9.6435830020273686E-3</v>
      </c>
      <c r="N117" s="3">
        <f>CF!$G$32*CF!G25</f>
        <v>-1.3156416997972632E-2</v>
      </c>
      <c r="O117" s="3">
        <f>CF!$H$33*CF!H25</f>
        <v>-1.8891948647761517E-2</v>
      </c>
      <c r="P117" s="3">
        <f>CF!$H$32*CF!H25</f>
        <v>-1.9908051352238484E-2</v>
      </c>
      <c r="Q117" s="3">
        <f>CF!$I$33*CF!I25</f>
        <v>-2.9917317179716978</v>
      </c>
      <c r="R117" s="3">
        <f>CF!$I$32*CF!I25</f>
        <v>-3.350568282028302</v>
      </c>
      <c r="AG117" s="3">
        <f>CF!O25</f>
        <v>-2.2800000000000001E-2</v>
      </c>
      <c r="AH117" s="3">
        <f>CF!P25</f>
        <v>-6.3811</v>
      </c>
    </row>
    <row r="118" spans="1:34" x14ac:dyDescent="0.25">
      <c r="A118" s="3"/>
      <c r="B118" s="6" t="s">
        <v>99</v>
      </c>
      <c r="K118" s="9">
        <f>SUM(K113:K117)</f>
        <v>54.889334505212297</v>
      </c>
      <c r="L118" s="9">
        <f t="shared" ref="L118:Q118" si="202">SUM(L113:L117)</f>
        <v>64.298765494787688</v>
      </c>
      <c r="M118" s="9">
        <f t="shared" si="202"/>
        <v>-29.282105339405959</v>
      </c>
      <c r="N118" s="9">
        <f t="shared" si="202"/>
        <v>-39.948594660594011</v>
      </c>
      <c r="O118" s="9">
        <f t="shared" si="202"/>
        <v>130.53635371117306</v>
      </c>
      <c r="P118" s="9">
        <f t="shared" si="202"/>
        <v>137.55724628882686</v>
      </c>
      <c r="Q118" s="9">
        <f t="shared" si="202"/>
        <v>215.23798107990567</v>
      </c>
      <c r="R118" s="9">
        <f>SUM(R113:R117)</f>
        <v>241.05421892009434</v>
      </c>
      <c r="AG118" s="9">
        <f>SUM(AG113:AG117)</f>
        <v>49.957400000000007</v>
      </c>
      <c r="AH118" s="9">
        <f>SUM(AH113:AH117)</f>
        <v>724.38580000000002</v>
      </c>
    </row>
    <row r="119" spans="1:34" x14ac:dyDescent="0.25">
      <c r="A119" s="3"/>
      <c r="B119" s="6" t="s">
        <v>101</v>
      </c>
      <c r="K119" s="9">
        <f>K105+K111+K118</f>
        <v>69.279364666682639</v>
      </c>
      <c r="L119" s="9">
        <f t="shared" ref="L119:Q119" si="203">L105+L111+L118</f>
        <v>47.743135333317348</v>
      </c>
      <c r="M119" s="9">
        <f t="shared" si="203"/>
        <v>-35.058104000620247</v>
      </c>
      <c r="N119" s="9">
        <f t="shared" si="203"/>
        <v>-47.828595999379772</v>
      </c>
      <c r="O119" s="9">
        <f t="shared" si="203"/>
        <v>25.917903302335446</v>
      </c>
      <c r="P119" s="9">
        <f t="shared" si="203"/>
        <v>27.311896697664523</v>
      </c>
      <c r="Q119" s="9">
        <f t="shared" si="203"/>
        <v>109.89577360221695</v>
      </c>
      <c r="R119" s="9">
        <f>R105+R111+R118</f>
        <v>122.95512639778295</v>
      </c>
      <c r="AG119" s="9">
        <f>AG118+AG111+AG105</f>
        <v>65.811499999999754</v>
      </c>
      <c r="AH119" s="9">
        <f>AH118+AH111+AH105</f>
        <v>286.19540000000052</v>
      </c>
    </row>
    <row r="120" spans="1:34" x14ac:dyDescent="0.25">
      <c r="A120" s="3"/>
      <c r="B120"/>
    </row>
    <row r="121" spans="1:34" x14ac:dyDescent="0.25">
      <c r="A121" s="3"/>
      <c r="B121" s="7" t="s">
        <v>102</v>
      </c>
      <c r="K121" s="10">
        <f>K105+K107</f>
        <v>27.716897765804877</v>
      </c>
      <c r="L121" s="10">
        <f t="shared" ref="L121:Q121" si="204">L105+L107</f>
        <v>-0.94419776580487857</v>
      </c>
      <c r="M121" s="10">
        <f t="shared" si="204"/>
        <v>-0.69201167322881751</v>
      </c>
      <c r="N121" s="10">
        <f t="shared" si="204"/>
        <v>-0.94408832677124011</v>
      </c>
      <c r="O121" s="10">
        <f t="shared" si="204"/>
        <v>-100.26127564429578</v>
      </c>
      <c r="P121" s="10">
        <f t="shared" si="204"/>
        <v>-105.65382435570417</v>
      </c>
      <c r="Q121" s="10">
        <f t="shared" si="204"/>
        <v>63.811793519292451</v>
      </c>
      <c r="R121" s="10">
        <f>R105+R107</f>
        <v>71.343706480707496</v>
      </c>
      <c r="AG121" s="10">
        <f>AG105+AG107</f>
        <v>56.812299999999738</v>
      </c>
      <c r="AH121" s="10">
        <f>AH105+AH107</f>
        <v>-70.644899999999495</v>
      </c>
    </row>
  </sheetData>
  <conditionalFormatting sqref="AV6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Z57:AH57" formula="1"/>
    <ignoredError sqref="AE42:AH43 AH33 AH35 AH37 AH38 AH39 AH40 AH41 AF45 AH45 AE25:AH26 AG27" formulaRange="1"/>
    <ignoredError sqref="AE34:AH34 AE36:AH36 AE46:AF46 AH46 AH47" formula="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FD57-7A66-482F-86F2-C19ADA6AAAF1}">
  <dimension ref="B1:P3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3" sqref="P33"/>
    </sheetView>
  </sheetViews>
  <sheetFormatPr defaultRowHeight="15" x14ac:dyDescent="0.25"/>
  <cols>
    <col min="2" max="2" width="16.5703125" bestFit="1" customWidth="1"/>
    <col min="6" max="9" width="10.140625" bestFit="1" customWidth="1"/>
    <col min="15" max="16" width="10.140625" bestFit="1" customWidth="1"/>
  </cols>
  <sheetData>
    <row r="1" spans="2:16" x14ac:dyDescent="0.25">
      <c r="F1" s="8">
        <v>44834</v>
      </c>
      <c r="G1" s="8">
        <v>45291</v>
      </c>
      <c r="H1" s="8">
        <v>45199</v>
      </c>
      <c r="I1" s="8">
        <v>45657</v>
      </c>
      <c r="O1" s="8">
        <v>45291</v>
      </c>
      <c r="P1" s="8">
        <v>45657</v>
      </c>
    </row>
    <row r="2" spans="2:16" x14ac:dyDescent="0.25">
      <c r="F2" t="s">
        <v>103</v>
      </c>
      <c r="G2" t="s">
        <v>103</v>
      </c>
      <c r="H2" t="s">
        <v>103</v>
      </c>
      <c r="I2" t="s">
        <v>103</v>
      </c>
      <c r="O2" t="s">
        <v>84</v>
      </c>
      <c r="P2" t="s">
        <v>84</v>
      </c>
    </row>
    <row r="3" spans="2:16" x14ac:dyDescent="0.25">
      <c r="B3" t="s">
        <v>31</v>
      </c>
      <c r="C3" s="13"/>
      <c r="F3">
        <v>28.951699999999999</v>
      </c>
      <c r="G3">
        <f>O3-F3</f>
        <v>129.82040000000001</v>
      </c>
      <c r="H3">
        <v>184.93799999999999</v>
      </c>
      <c r="I3">
        <f>P3-H3</f>
        <v>212.10880000000003</v>
      </c>
      <c r="O3">
        <v>158.77209999999999</v>
      </c>
      <c r="P3">
        <v>397.04680000000002</v>
      </c>
    </row>
    <row r="4" spans="2:16" x14ac:dyDescent="0.25">
      <c r="B4" t="s">
        <v>26</v>
      </c>
      <c r="F4">
        <v>10.7098</v>
      </c>
      <c r="G4">
        <f t="shared" ref="G4:G12" si="0">O4-F4</f>
        <v>11.793699999999999</v>
      </c>
      <c r="H4">
        <v>13.323</v>
      </c>
      <c r="I4">
        <f t="shared" ref="I4:I12" si="1">P4-H4</f>
        <v>13.778199999999998</v>
      </c>
      <c r="O4">
        <v>22.503499999999999</v>
      </c>
      <c r="P4">
        <v>27.101199999999999</v>
      </c>
    </row>
    <row r="5" spans="2:16" x14ac:dyDescent="0.25">
      <c r="B5" t="s">
        <v>85</v>
      </c>
      <c r="F5">
        <v>35.456099999999999</v>
      </c>
      <c r="G5">
        <f t="shared" si="0"/>
        <v>45.290600000000005</v>
      </c>
      <c r="H5">
        <v>39.3855</v>
      </c>
      <c r="I5">
        <f t="shared" si="1"/>
        <v>34.0687</v>
      </c>
      <c r="O5">
        <v>80.746700000000004</v>
      </c>
      <c r="P5">
        <v>73.4542</v>
      </c>
    </row>
    <row r="6" spans="2:16" x14ac:dyDescent="0.25">
      <c r="B6" t="s">
        <v>86</v>
      </c>
      <c r="F6">
        <f>1.1193-2.3973</f>
        <v>-1.278</v>
      </c>
      <c r="G6">
        <f t="shared" si="0"/>
        <v>21.875399999999999</v>
      </c>
      <c r="H6">
        <f>4.5231-0.0261</f>
        <v>4.4970000000000008</v>
      </c>
      <c r="I6">
        <f t="shared" si="1"/>
        <v>6.0253999999999985</v>
      </c>
      <c r="O6">
        <f>25.2681-4.6707</f>
        <v>20.5974</v>
      </c>
      <c r="P6">
        <f>7.9247+4.4202+0.0317-1.8542</f>
        <v>10.522399999999999</v>
      </c>
    </row>
    <row r="7" spans="2:16" x14ac:dyDescent="0.25">
      <c r="B7" t="s">
        <v>100</v>
      </c>
      <c r="F7">
        <v>-5.0068000000000001</v>
      </c>
      <c r="G7">
        <f t="shared" si="0"/>
        <v>-9.6417000000000002</v>
      </c>
      <c r="H7">
        <v>1.0923</v>
      </c>
      <c r="I7">
        <f t="shared" si="1"/>
        <v>-0.5283000000000001</v>
      </c>
      <c r="O7">
        <v>-14.6485</v>
      </c>
      <c r="P7">
        <v>0.56399999999999995</v>
      </c>
    </row>
    <row r="8" spans="2:16" x14ac:dyDescent="0.25">
      <c r="B8" t="s">
        <v>88</v>
      </c>
      <c r="F8">
        <v>-4.7000000000000002E-3</v>
      </c>
      <c r="G8">
        <f t="shared" si="0"/>
        <v>-1.6408</v>
      </c>
      <c r="H8">
        <v>-5.7939999999999996</v>
      </c>
      <c r="I8">
        <f t="shared" si="1"/>
        <v>-5.1946000000000003</v>
      </c>
      <c r="O8">
        <v>-1.6455</v>
      </c>
      <c r="P8">
        <f>-5.794-5.1946</f>
        <v>-10.9886</v>
      </c>
    </row>
    <row r="9" spans="2:16" x14ac:dyDescent="0.25">
      <c r="B9" t="s">
        <v>87</v>
      </c>
      <c r="F9">
        <v>-2.7599</v>
      </c>
      <c r="G9">
        <f t="shared" si="0"/>
        <v>-4.7416</v>
      </c>
      <c r="H9">
        <v>-5.5304000000000002</v>
      </c>
      <c r="I9">
        <f t="shared" si="1"/>
        <v>-14.015999999999998</v>
      </c>
      <c r="O9">
        <v>-7.5015000000000001</v>
      </c>
      <c r="P9">
        <f>-19.5464</f>
        <v>-19.546399999999998</v>
      </c>
    </row>
    <row r="10" spans="2:16" x14ac:dyDescent="0.25">
      <c r="B10" t="s">
        <v>19</v>
      </c>
      <c r="F10">
        <f>-0.074+46.2755-0.9</f>
        <v>45.301500000000004</v>
      </c>
      <c r="G10">
        <f t="shared" si="0"/>
        <v>4.0816999999999979</v>
      </c>
      <c r="H10">
        <v>0.6</v>
      </c>
      <c r="I10">
        <f t="shared" si="1"/>
        <v>-0.8599</v>
      </c>
      <c r="O10">
        <f>-0.1795-0.1655+49.7282</f>
        <v>49.383200000000002</v>
      </c>
      <c r="P10">
        <f>0-0.2599</f>
        <v>-0.25990000000000002</v>
      </c>
    </row>
    <row r="11" spans="2:16" x14ac:dyDescent="0.25">
      <c r="B11" t="s">
        <v>89</v>
      </c>
      <c r="F11">
        <f>145.4873-7.7792+58.5416-5.6587-138.9413-47.7961-61.0386</f>
        <v>-57.185000000000009</v>
      </c>
      <c r="G11">
        <f t="shared" si="0"/>
        <v>-123.09680000000003</v>
      </c>
      <c r="H11">
        <f>-61.0927+70.1831+17.8181-346.3096+47.8566-10.3543-69.1762</f>
        <v>-351.07499999999999</v>
      </c>
      <c r="I11">
        <f t="shared" si="1"/>
        <v>66.563400000000001</v>
      </c>
      <c r="O11">
        <f>96.2045+228.9976+4.0041-67.1031-172.7743-172.969-96.6416</f>
        <v>-180.28180000000003</v>
      </c>
      <c r="P11">
        <f>-1.6046-128.5427+19.1042-261.0403-78.4783+154.187+11.8631</f>
        <v>-284.51159999999999</v>
      </c>
    </row>
    <row r="12" spans="2:16" x14ac:dyDescent="0.25">
      <c r="B12" t="s">
        <v>90</v>
      </c>
      <c r="F12">
        <v>-20.007999999999999</v>
      </c>
      <c r="G12">
        <f t="shared" si="0"/>
        <v>-45.944500000000005</v>
      </c>
      <c r="H12">
        <v>-28.876200000000001</v>
      </c>
      <c r="I12">
        <f t="shared" si="1"/>
        <v>-71.730800000000002</v>
      </c>
      <c r="O12">
        <v>-65.952500000000001</v>
      </c>
      <c r="P12">
        <v>-100.607</v>
      </c>
    </row>
    <row r="13" spans="2:16" x14ac:dyDescent="0.25">
      <c r="B13" t="s">
        <v>91</v>
      </c>
      <c r="F13">
        <f>SUM(F3:F12)</f>
        <v>34.176699999999983</v>
      </c>
      <c r="G13">
        <f>SUM(G3:G12)</f>
        <v>27.796399999999949</v>
      </c>
      <c r="H13">
        <f>SUM(H3:H12)</f>
        <v>-147.43979999999999</v>
      </c>
      <c r="I13">
        <f>SUM(I3:I12)</f>
        <v>240.21490000000006</v>
      </c>
      <c r="O13">
        <f>SUM(O3:O12)</f>
        <v>61.97309999999986</v>
      </c>
      <c r="P13">
        <f>SUM(P3:P12)</f>
        <v>92.775100000000037</v>
      </c>
    </row>
    <row r="15" spans="2:16" x14ac:dyDescent="0.25">
      <c r="B15" t="s">
        <v>92</v>
      </c>
      <c r="F15">
        <f>-6.6547+0.025</f>
        <v>-6.6296999999999997</v>
      </c>
      <c r="G15">
        <f>O15-F15</f>
        <v>-29.879400000000004</v>
      </c>
      <c r="H15">
        <v>-58.463999999999999</v>
      </c>
      <c r="I15">
        <f>P15-H15</f>
        <v>-105.05940000000001</v>
      </c>
      <c r="O15">
        <f>-36.7409+0.2318</f>
        <v>-36.509100000000004</v>
      </c>
      <c r="P15">
        <v>-163.52340000000001</v>
      </c>
    </row>
    <row r="16" spans="2:16" x14ac:dyDescent="0.25">
      <c r="B16" t="s">
        <v>60</v>
      </c>
      <c r="F16">
        <f>-16.4007-18.8421+5.4397</f>
        <v>-29.803100000000001</v>
      </c>
      <c r="G16">
        <f t="shared" ref="G16:G18" si="2">O16-F16</f>
        <v>-17.31389999999999</v>
      </c>
      <c r="H16">
        <f>-0.55-50.0907+31.8443+5.794</f>
        <v>-13.002399999999994</v>
      </c>
      <c r="I16">
        <f t="shared" ref="I16:I18" si="3">P16-H16</f>
        <v>-371.03340000000003</v>
      </c>
      <c r="O16">
        <f>-16.4006-71.2507+40.5343</f>
        <v>-47.11699999999999</v>
      </c>
      <c r="P16">
        <f>-163.2088-310.346+83.725+5.794</f>
        <v>-384.03579999999999</v>
      </c>
    </row>
    <row r="17" spans="2:16" x14ac:dyDescent="0.25">
      <c r="B17" t="s">
        <v>93</v>
      </c>
      <c r="F17">
        <v>0</v>
      </c>
      <c r="G17">
        <f t="shared" si="2"/>
        <v>0</v>
      </c>
      <c r="H17">
        <v>0</v>
      </c>
      <c r="I17">
        <f t="shared" si="3"/>
        <v>0</v>
      </c>
      <c r="O17">
        <v>0</v>
      </c>
      <c r="P17">
        <v>0</v>
      </c>
    </row>
    <row r="18" spans="2:16" x14ac:dyDescent="0.25">
      <c r="B18" t="s">
        <v>19</v>
      </c>
      <c r="F18">
        <v>0.86480000000000001</v>
      </c>
      <c r="G18">
        <f t="shared" si="2"/>
        <v>5.2940000000000005</v>
      </c>
      <c r="H18">
        <v>4.0537000000000001</v>
      </c>
      <c r="I18">
        <f t="shared" si="3"/>
        <v>12.436600000000002</v>
      </c>
      <c r="O18">
        <v>6.1588000000000003</v>
      </c>
      <c r="P18">
        <v>16.490300000000001</v>
      </c>
    </row>
    <row r="19" spans="2:16" x14ac:dyDescent="0.25">
      <c r="B19" t="s">
        <v>94</v>
      </c>
      <c r="F19">
        <f>SUM(F15:F18)</f>
        <v>-35.567999999999998</v>
      </c>
      <c r="G19">
        <f>SUM(G15:G18)</f>
        <v>-41.899299999999997</v>
      </c>
      <c r="H19">
        <f>SUM(H15:H18)</f>
        <v>-67.412699999999987</v>
      </c>
      <c r="I19">
        <f>SUM(I15:I18)</f>
        <v>-463.65620000000001</v>
      </c>
      <c r="O19">
        <f>SUM(O15:O18)</f>
        <v>-77.467299999999994</v>
      </c>
      <c r="P19">
        <f>SUM(P15:P18)</f>
        <v>-531.06889999999999</v>
      </c>
    </row>
    <row r="21" spans="2:16" x14ac:dyDescent="0.25">
      <c r="B21" t="s">
        <v>95</v>
      </c>
      <c r="F21">
        <v>0</v>
      </c>
      <c r="G21">
        <f>O21-F21</f>
        <v>0</v>
      </c>
      <c r="H21">
        <f>1.52+287.28-0.67</f>
        <v>288.12999999999994</v>
      </c>
      <c r="I21">
        <f>P21-H21</f>
        <v>686.54770000000008</v>
      </c>
      <c r="O21">
        <v>0</v>
      </c>
      <c r="P21">
        <v>974.67769999999996</v>
      </c>
    </row>
    <row r="22" spans="2:16" x14ac:dyDescent="0.25">
      <c r="B22" t="s">
        <v>96</v>
      </c>
      <c r="F22">
        <f>-15.9182+159.6693</f>
        <v>143.75109999999998</v>
      </c>
      <c r="G22">
        <f t="shared" ref="G22:G25" si="4">O22-F22</f>
        <v>-33.187499999999972</v>
      </c>
      <c r="H22">
        <f>-23.65+34.0466</f>
        <v>10.396599999999999</v>
      </c>
      <c r="I22">
        <f t="shared" ref="I22:I25" si="5">P22-H22</f>
        <v>-56.987000000000002</v>
      </c>
      <c r="O22">
        <f>-27.0503+49.625-20+107.9889</f>
        <v>110.56360000000001</v>
      </c>
      <c r="P22">
        <f>-33.075-13.5154</f>
        <v>-46.590400000000002</v>
      </c>
    </row>
    <row r="23" spans="2:16" x14ac:dyDescent="0.25">
      <c r="B23" t="s">
        <v>97</v>
      </c>
      <c r="F23">
        <v>-3.8134000000000001</v>
      </c>
      <c r="G23">
        <f t="shared" si="4"/>
        <v>-4.8349000000000011</v>
      </c>
      <c r="H23">
        <v>-6.7386999999999997</v>
      </c>
      <c r="I23">
        <f t="shared" si="5"/>
        <v>-143.58790000000002</v>
      </c>
      <c r="O23">
        <v>-8.6483000000000008</v>
      </c>
      <c r="P23">
        <v>-150.32660000000001</v>
      </c>
    </row>
    <row r="24" spans="2:16" x14ac:dyDescent="0.25">
      <c r="B24" t="s">
        <v>25</v>
      </c>
      <c r="F24">
        <v>-20.749600000000001</v>
      </c>
      <c r="G24">
        <f t="shared" si="4"/>
        <v>-31.185499999999998</v>
      </c>
      <c r="H24">
        <v>-23.6555</v>
      </c>
      <c r="I24">
        <f t="shared" si="5"/>
        <v>-23.3383</v>
      </c>
      <c r="O24">
        <v>-51.935099999999998</v>
      </c>
      <c r="P24">
        <v>-46.9938</v>
      </c>
    </row>
    <row r="25" spans="2:16" x14ac:dyDescent="0.25">
      <c r="B25" t="s">
        <v>98</v>
      </c>
      <c r="F25">
        <v>0</v>
      </c>
      <c r="G25">
        <f t="shared" si="4"/>
        <v>-2.2800000000000001E-2</v>
      </c>
      <c r="H25">
        <v>-3.8800000000000001E-2</v>
      </c>
      <c r="I25">
        <f t="shared" si="5"/>
        <v>-6.3422999999999998</v>
      </c>
      <c r="O25">
        <v>-2.2800000000000001E-2</v>
      </c>
      <c r="P25">
        <v>-6.3811</v>
      </c>
    </row>
    <row r="26" spans="2:16" x14ac:dyDescent="0.25">
      <c r="B26" t="s">
        <v>99</v>
      </c>
      <c r="F26">
        <f>SUM(F21:F25)</f>
        <v>119.18809999999998</v>
      </c>
      <c r="G26">
        <f>SUM(G21:G25)</f>
        <v>-69.23069999999997</v>
      </c>
      <c r="H26">
        <f>SUM(H21:H25)</f>
        <v>268.09359999999992</v>
      </c>
      <c r="I26">
        <f>SUM(I21:I25)</f>
        <v>456.29220000000009</v>
      </c>
      <c r="O26">
        <f>SUM(O21:O25)</f>
        <v>49.957400000000007</v>
      </c>
      <c r="P26">
        <f>SUM(P21:P25)</f>
        <v>724.38580000000002</v>
      </c>
    </row>
    <row r="27" spans="2:16" x14ac:dyDescent="0.25">
      <c r="B27" t="s">
        <v>101</v>
      </c>
      <c r="F27">
        <f>F13+F19+F26</f>
        <v>117.79679999999996</v>
      </c>
      <c r="G27">
        <f>G13+G19+G26</f>
        <v>-83.333600000000018</v>
      </c>
      <c r="H27">
        <f>H13+H19+H26</f>
        <v>53.24109999999996</v>
      </c>
      <c r="I27">
        <f>I13+I19+I26</f>
        <v>232.85090000000014</v>
      </c>
      <c r="O27">
        <f>O13+O19+O26</f>
        <v>34.463199999999873</v>
      </c>
      <c r="P27">
        <f>P13+P19+P26</f>
        <v>286.0920000000001</v>
      </c>
    </row>
    <row r="29" spans="2:16" x14ac:dyDescent="0.25">
      <c r="B29" t="s">
        <v>102</v>
      </c>
      <c r="F29">
        <f>F13+F15</f>
        <v>27.546999999999983</v>
      </c>
      <c r="G29">
        <f>G13+G15</f>
        <v>-2.0830000000000553</v>
      </c>
      <c r="H29">
        <f>H13+H15</f>
        <v>-205.90379999999999</v>
      </c>
      <c r="I29">
        <f>I13+I15</f>
        <v>135.15550000000005</v>
      </c>
      <c r="O29">
        <f>O13+O15</f>
        <v>25.463999999999857</v>
      </c>
      <c r="P29">
        <f>P13+P15</f>
        <v>-70.748299999999972</v>
      </c>
    </row>
    <row r="31" spans="2:16" x14ac:dyDescent="0.25">
      <c r="B31" t="s">
        <v>104</v>
      </c>
      <c r="F31" s="3">
        <f>SUM(Model!K95:L95)</f>
        <v>28.177399999999999</v>
      </c>
      <c r="G31" s="3">
        <f>SUM(Model!M95:N95)</f>
        <v>130.26729999999998</v>
      </c>
      <c r="H31" s="3">
        <f>SUM(Model!O95:P95)</f>
        <v>184.92669999999998</v>
      </c>
      <c r="I31" s="3">
        <v>212</v>
      </c>
    </row>
    <row r="32" spans="2:16" x14ac:dyDescent="0.25">
      <c r="B32" t="s">
        <v>105</v>
      </c>
      <c r="F32" s="11">
        <f>AVERAGE(G32:I32)</f>
        <v>0.5394730304014218</v>
      </c>
      <c r="G32">
        <f>Model!N95/CF!G31</f>
        <v>0.57703583324441365</v>
      </c>
      <c r="H32">
        <f>Model!P95/CF!H31</f>
        <v>0.51309410701645575</v>
      </c>
      <c r="I32">
        <f>Model!R95/CF!I31</f>
        <v>0.52828915094339624</v>
      </c>
    </row>
    <row r="33" spans="2:9" x14ac:dyDescent="0.25">
      <c r="B33" t="s">
        <v>106</v>
      </c>
      <c r="F33" s="11">
        <f>1-F32</f>
        <v>0.4605269695985782</v>
      </c>
      <c r="G33">
        <f>1-G32</f>
        <v>0.42296416675558635</v>
      </c>
      <c r="H33">
        <f>1-H32</f>
        <v>0.48690589298354425</v>
      </c>
      <c r="I33">
        <f>1-I32</f>
        <v>0.47171084905660376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Rangwala</dc:creator>
  <cp:lastModifiedBy>Sameer Rangwala</cp:lastModifiedBy>
  <cp:lastPrinted>2024-06-15T00:03:15Z</cp:lastPrinted>
  <dcterms:created xsi:type="dcterms:W3CDTF">2024-06-14T11:11:04Z</dcterms:created>
  <dcterms:modified xsi:type="dcterms:W3CDTF">2024-08-28T19:41:25Z</dcterms:modified>
</cp:coreProperties>
</file>