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09fdbd93d202da/Desktop/Models/India Equity/"/>
    </mc:Choice>
  </mc:AlternateContent>
  <xr:revisionPtr revIDLastSave="1798" documentId="8_{920CA272-DBE2-4A3B-AD8D-8F390F5B7B47}" xr6:coauthVersionLast="47" xr6:coauthVersionMax="47" xr10:uidLastSave="{C750B7BC-886D-444B-B2C7-EAEC5141F15A}"/>
  <bookViews>
    <workbookView xWindow="-98" yWindow="-98" windowWidth="21795" windowHeight="13695" activeTab="1" xr2:uid="{6B3608B9-C142-4CC8-AC00-3D29641392E6}"/>
  </bookViews>
  <sheets>
    <sheet name="Main" sheetId="1" r:id="rId1"/>
    <sheet name="Model" sheetId="2" r:id="rId2"/>
  </sheets>
  <definedNames>
    <definedName name="solver_adj" localSheetId="1" hidden="1">Model!$AP$56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Model!$AP$59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" i="2" l="1"/>
  <c r="AF13" i="2" s="1"/>
  <c r="AG13" i="2" s="1"/>
  <c r="AH13" i="2" s="1"/>
  <c r="AI13" i="2" s="1"/>
  <c r="AJ13" i="2" s="1"/>
  <c r="AK13" i="2" s="1"/>
  <c r="AL13" i="2" s="1"/>
  <c r="AD13" i="2"/>
  <c r="AE12" i="2"/>
  <c r="AF12" i="2" s="1"/>
  <c r="AG12" i="2" s="1"/>
  <c r="AH12" i="2" s="1"/>
  <c r="AI12" i="2" s="1"/>
  <c r="AJ12" i="2" s="1"/>
  <c r="AK12" i="2" s="1"/>
  <c r="AL12" i="2" s="1"/>
  <c r="AD12" i="2"/>
  <c r="AC52" i="2"/>
  <c r="AC40" i="2"/>
  <c r="AC37" i="2"/>
  <c r="AC24" i="2"/>
  <c r="AC33" i="2" s="1"/>
  <c r="AC26" i="2"/>
  <c r="AC27" i="2"/>
  <c r="AC28" i="2"/>
  <c r="AC29" i="2"/>
  <c r="AC30" i="2"/>
  <c r="AC31" i="2"/>
  <c r="AC25" i="2"/>
  <c r="AC23" i="2"/>
  <c r="AC21" i="2"/>
  <c r="AC20" i="2"/>
  <c r="AC13" i="2"/>
  <c r="AC12" i="2"/>
  <c r="AC7" i="2"/>
  <c r="AC8" i="2"/>
  <c r="AC9" i="2"/>
  <c r="AC10" i="2"/>
  <c r="AC6" i="2"/>
  <c r="P52" i="2"/>
  <c r="P40" i="2"/>
  <c r="P31" i="2"/>
  <c r="P30" i="2"/>
  <c r="P28" i="2"/>
  <c r="P27" i="2"/>
  <c r="O52" i="2"/>
  <c r="O108" i="2"/>
  <c r="O110" i="2" s="1"/>
  <c r="O98" i="2"/>
  <c r="O102" i="2" s="1"/>
  <c r="O99" i="2"/>
  <c r="O93" i="2"/>
  <c r="O89" i="2"/>
  <c r="O88" i="2"/>
  <c r="O94" i="2"/>
  <c r="O86" i="2"/>
  <c r="O71" i="2"/>
  <c r="O77" i="2" s="1"/>
  <c r="O79" i="2" s="1"/>
  <c r="O75" i="2"/>
  <c r="O73" i="2"/>
  <c r="O72" i="2"/>
  <c r="O65" i="2"/>
  <c r="O59" i="2"/>
  <c r="O68" i="2" s="1"/>
  <c r="O60" i="2"/>
  <c r="O46" i="2"/>
  <c r="O47" i="2"/>
  <c r="O49" i="2"/>
  <c r="O50" i="2"/>
  <c r="O32" i="2"/>
  <c r="O20" i="2"/>
  <c r="O22" i="2" s="1"/>
  <c r="O15" i="2"/>
  <c r="O16" i="2"/>
  <c r="O17" i="2"/>
  <c r="O18" i="2"/>
  <c r="O11" i="2"/>
  <c r="O48" i="2" l="1"/>
  <c r="O24" i="2"/>
  <c r="O43" i="2" s="1"/>
  <c r="O45" i="2"/>
  <c r="O96" i="2"/>
  <c r="O114" i="2" s="1"/>
  <c r="O33" i="2"/>
  <c r="O36" i="2" s="1"/>
  <c r="O38" i="2" s="1"/>
  <c r="C86" i="2"/>
  <c r="O39" i="2" l="1"/>
  <c r="O82" i="2"/>
  <c r="O112" i="2"/>
  <c r="Z49" i="2"/>
  <c r="AA49" i="2"/>
  <c r="Y49" i="2"/>
  <c r="Z48" i="2"/>
  <c r="Y47" i="2"/>
  <c r="Z47" i="2"/>
  <c r="AA47" i="2"/>
  <c r="X47" i="2"/>
  <c r="Y46" i="2"/>
  <c r="Z46" i="2"/>
  <c r="AA46" i="2"/>
  <c r="X46" i="2"/>
  <c r="Q27" i="2"/>
  <c r="R27" i="2" s="1"/>
  <c r="E46" i="2"/>
  <c r="F46" i="2"/>
  <c r="G46" i="2"/>
  <c r="H46" i="2"/>
  <c r="I46" i="2"/>
  <c r="J46" i="2"/>
  <c r="K46" i="2"/>
  <c r="L46" i="2"/>
  <c r="M46" i="2"/>
  <c r="N46" i="2"/>
  <c r="D46" i="2"/>
  <c r="AD26" i="2"/>
  <c r="AE26" i="2" s="1"/>
  <c r="AF26" i="2" s="1"/>
  <c r="AG26" i="2" s="1"/>
  <c r="AH26" i="2" s="1"/>
  <c r="AI26" i="2" s="1"/>
  <c r="AJ26" i="2" s="1"/>
  <c r="AK26" i="2" s="1"/>
  <c r="AL26" i="2" s="1"/>
  <c r="Q31" i="2"/>
  <c r="R31" i="2" s="1"/>
  <c r="G50" i="2"/>
  <c r="H50" i="2"/>
  <c r="I50" i="2"/>
  <c r="J50" i="2"/>
  <c r="K50" i="2"/>
  <c r="L50" i="2"/>
  <c r="M50" i="2"/>
  <c r="N50" i="2"/>
  <c r="F50" i="2"/>
  <c r="Q30" i="2"/>
  <c r="R30" i="2" s="1"/>
  <c r="G49" i="2"/>
  <c r="H49" i="2"/>
  <c r="I49" i="2"/>
  <c r="J49" i="2"/>
  <c r="K49" i="2"/>
  <c r="L49" i="2"/>
  <c r="M49" i="2"/>
  <c r="N49" i="2"/>
  <c r="F49" i="2"/>
  <c r="Q28" i="2"/>
  <c r="R28" i="2" s="1"/>
  <c r="E47" i="2"/>
  <c r="F47" i="2"/>
  <c r="G47" i="2"/>
  <c r="H47" i="2"/>
  <c r="I47" i="2"/>
  <c r="J47" i="2"/>
  <c r="K47" i="2"/>
  <c r="L47" i="2"/>
  <c r="M47" i="2"/>
  <c r="N47" i="2"/>
  <c r="D47" i="2"/>
  <c r="AD40" i="2"/>
  <c r="Q40" i="2"/>
  <c r="R40" i="2" s="1"/>
  <c r="P9" i="2"/>
  <c r="Q9" i="2"/>
  <c r="R9" i="2"/>
  <c r="P8" i="2"/>
  <c r="Q8" i="2"/>
  <c r="R8" i="2"/>
  <c r="P7" i="2"/>
  <c r="Q7" i="2"/>
  <c r="R7" i="2"/>
  <c r="P6" i="2"/>
  <c r="Q6" i="2"/>
  <c r="R6" i="2"/>
  <c r="P12" i="2"/>
  <c r="Q12" i="2"/>
  <c r="R12" i="2"/>
  <c r="AB13" i="2"/>
  <c r="AB12" i="2"/>
  <c r="AB7" i="2"/>
  <c r="AB8" i="2"/>
  <c r="AB9" i="2"/>
  <c r="AB10" i="2"/>
  <c r="AB6" i="2"/>
  <c r="Z12" i="2"/>
  <c r="Z7" i="2"/>
  <c r="Z8" i="2"/>
  <c r="Z9" i="2"/>
  <c r="Z10" i="2"/>
  <c r="Z6" i="2"/>
  <c r="AA12" i="2"/>
  <c r="AA9" i="2"/>
  <c r="AA10" i="2"/>
  <c r="AA7" i="2"/>
  <c r="AA8" i="2"/>
  <c r="AA6" i="2"/>
  <c r="Y42" i="2"/>
  <c r="Z42" i="2"/>
  <c r="AA42" i="2"/>
  <c r="X42" i="2"/>
  <c r="AB37" i="2"/>
  <c r="AB35" i="2"/>
  <c r="AB34" i="2"/>
  <c r="AB31" i="2"/>
  <c r="AB30" i="2"/>
  <c r="AB49" i="2" s="1"/>
  <c r="AB29" i="2"/>
  <c r="AB28" i="2"/>
  <c r="AB47" i="2" s="1"/>
  <c r="AB27" i="2"/>
  <c r="AB46" i="2" s="1"/>
  <c r="AB26" i="2"/>
  <c r="AB25" i="2"/>
  <c r="AB23" i="2"/>
  <c r="AB21" i="2"/>
  <c r="AB20" i="2"/>
  <c r="AB42" i="2" s="1"/>
  <c r="W40" i="2"/>
  <c r="X40" i="2"/>
  <c r="X31" i="2"/>
  <c r="X32" i="2" s="1"/>
  <c r="Y40" i="2"/>
  <c r="Y31" i="2"/>
  <c r="Y32" i="2" s="1"/>
  <c r="Z40" i="2"/>
  <c r="Z31" i="2"/>
  <c r="Z32" i="2" s="1"/>
  <c r="W32" i="2"/>
  <c r="Z22" i="2"/>
  <c r="Z24" i="2" s="1"/>
  <c r="Z43" i="2" s="1"/>
  <c r="Y22" i="2"/>
  <c r="Y24" i="2" s="1"/>
  <c r="Y43" i="2" s="1"/>
  <c r="X22" i="2"/>
  <c r="X24" i="2" s="1"/>
  <c r="W22" i="2"/>
  <c r="W24" i="2" s="1"/>
  <c r="AA40" i="2"/>
  <c r="AA37" i="2"/>
  <c r="AA31" i="2"/>
  <c r="AA32" i="2" s="1"/>
  <c r="AA22" i="2"/>
  <c r="AA24" i="2" s="1"/>
  <c r="AC1" i="2"/>
  <c r="AD1" i="2" s="1"/>
  <c r="AE1" i="2" s="1"/>
  <c r="AF1" i="2" s="1"/>
  <c r="AG1" i="2" s="1"/>
  <c r="AH1" i="2" s="1"/>
  <c r="AI1" i="2" s="1"/>
  <c r="AJ1" i="2" s="1"/>
  <c r="AK1" i="2" s="1"/>
  <c r="AL1" i="2" s="1"/>
  <c r="N18" i="2"/>
  <c r="N17" i="2"/>
  <c r="M17" i="2"/>
  <c r="L17" i="2"/>
  <c r="N16" i="2"/>
  <c r="M16" i="2"/>
  <c r="L16" i="2"/>
  <c r="K16" i="2"/>
  <c r="J16" i="2"/>
  <c r="I16" i="2"/>
  <c r="H16" i="2"/>
  <c r="G16" i="2"/>
  <c r="H15" i="2"/>
  <c r="I15" i="2"/>
  <c r="J15" i="2"/>
  <c r="K15" i="2"/>
  <c r="L15" i="2"/>
  <c r="M15" i="2"/>
  <c r="N15" i="2"/>
  <c r="G15" i="2"/>
  <c r="D11" i="2"/>
  <c r="C11" i="2"/>
  <c r="F11" i="2"/>
  <c r="G11" i="2"/>
  <c r="H11" i="2"/>
  <c r="I11" i="2"/>
  <c r="E11" i="2"/>
  <c r="K11" i="2"/>
  <c r="L11" i="2"/>
  <c r="M11" i="2"/>
  <c r="N11" i="2"/>
  <c r="J11" i="2"/>
  <c r="H108" i="2"/>
  <c r="H110" i="2" s="1"/>
  <c r="H99" i="2"/>
  <c r="H102" i="2" s="1"/>
  <c r="H94" i="2"/>
  <c r="H93" i="2"/>
  <c r="H92" i="2"/>
  <c r="H89" i="2"/>
  <c r="H88" i="2"/>
  <c r="K108" i="2"/>
  <c r="K110" i="2" s="1"/>
  <c r="K99" i="2"/>
  <c r="K98" i="2"/>
  <c r="K94" i="2"/>
  <c r="K93" i="2"/>
  <c r="K92" i="2"/>
  <c r="K89" i="2"/>
  <c r="K88" i="2"/>
  <c r="L108" i="2"/>
  <c r="L110" i="2" s="1"/>
  <c r="L99" i="2"/>
  <c r="L98" i="2"/>
  <c r="L94" i="2"/>
  <c r="L92" i="2"/>
  <c r="L89" i="2"/>
  <c r="L88" i="2"/>
  <c r="J108" i="2"/>
  <c r="J110" i="2" s="1"/>
  <c r="J99" i="2"/>
  <c r="J98" i="2"/>
  <c r="J94" i="2"/>
  <c r="J93" i="2"/>
  <c r="J92" i="2"/>
  <c r="J89" i="2"/>
  <c r="J88" i="2"/>
  <c r="M108" i="2"/>
  <c r="M107" i="2"/>
  <c r="M99" i="2"/>
  <c r="M98" i="2"/>
  <c r="M93" i="2"/>
  <c r="M94" i="2"/>
  <c r="M92" i="2"/>
  <c r="M89" i="2"/>
  <c r="M88" i="2"/>
  <c r="M87" i="2"/>
  <c r="M86" i="2"/>
  <c r="L86" i="2"/>
  <c r="K86" i="2"/>
  <c r="J86" i="2"/>
  <c r="H86" i="2"/>
  <c r="G86" i="2"/>
  <c r="G96" i="2" s="1"/>
  <c r="F86" i="2"/>
  <c r="F96" i="2" s="1"/>
  <c r="E86" i="2"/>
  <c r="E96" i="2" s="1"/>
  <c r="D86" i="2"/>
  <c r="D96" i="2" s="1"/>
  <c r="C96" i="2"/>
  <c r="I110" i="2"/>
  <c r="G110" i="2"/>
  <c r="F110" i="2"/>
  <c r="E110" i="2"/>
  <c r="D110" i="2"/>
  <c r="C110" i="2"/>
  <c r="I102" i="2"/>
  <c r="G102" i="2"/>
  <c r="F102" i="2"/>
  <c r="E102" i="2"/>
  <c r="D102" i="2"/>
  <c r="C102" i="2"/>
  <c r="N108" i="2"/>
  <c r="N107" i="2"/>
  <c r="N101" i="2"/>
  <c r="N99" i="2"/>
  <c r="N98" i="2"/>
  <c r="N94" i="2"/>
  <c r="N93" i="2"/>
  <c r="N92" i="2"/>
  <c r="N89" i="2"/>
  <c r="N88" i="2"/>
  <c r="N86" i="2"/>
  <c r="N75" i="2"/>
  <c r="N73" i="2"/>
  <c r="N72" i="2"/>
  <c r="N71" i="2"/>
  <c r="N65" i="2"/>
  <c r="N60" i="2"/>
  <c r="N59" i="2"/>
  <c r="Q1" i="2"/>
  <c r="R1" i="2" s="1"/>
  <c r="C32" i="2"/>
  <c r="D22" i="2"/>
  <c r="D24" i="2" s="1"/>
  <c r="D43" i="2" s="1"/>
  <c r="D32" i="2"/>
  <c r="E22" i="2"/>
  <c r="E24" i="2" s="1"/>
  <c r="E43" i="2" s="1"/>
  <c r="F22" i="2"/>
  <c r="F24" i="2" s="1"/>
  <c r="F43" i="2" s="1"/>
  <c r="G22" i="2"/>
  <c r="G24" i="2" s="1"/>
  <c r="G43" i="2" s="1"/>
  <c r="E32" i="2"/>
  <c r="F32" i="2"/>
  <c r="G32" i="2"/>
  <c r="I37" i="2"/>
  <c r="I86" i="2" s="1"/>
  <c r="I96" i="2" s="1"/>
  <c r="H22" i="2"/>
  <c r="H24" i="2" s="1"/>
  <c r="H43" i="2" s="1"/>
  <c r="I22" i="2"/>
  <c r="I24" i="2" s="1"/>
  <c r="I43" i="2" s="1"/>
  <c r="H32" i="2"/>
  <c r="I32" i="2"/>
  <c r="L32" i="2"/>
  <c r="K32" i="2"/>
  <c r="J32" i="2"/>
  <c r="L22" i="2"/>
  <c r="L24" i="2" s="1"/>
  <c r="L43" i="2" s="1"/>
  <c r="K22" i="2"/>
  <c r="J22" i="2"/>
  <c r="J24" i="2" s="1"/>
  <c r="J43" i="2" s="1"/>
  <c r="C22" i="2"/>
  <c r="C24" i="2" s="1"/>
  <c r="C43" i="2" s="1"/>
  <c r="M32" i="2"/>
  <c r="M22" i="2"/>
  <c r="M24" i="2" s="1"/>
  <c r="M43" i="2" s="1"/>
  <c r="N32" i="2"/>
  <c r="N22" i="2"/>
  <c r="N24" i="2" s="1"/>
  <c r="N43" i="2" s="1"/>
  <c r="Y48" i="2" l="1"/>
  <c r="K24" i="2"/>
  <c r="K43" i="2" s="1"/>
  <c r="O42" i="2"/>
  <c r="X48" i="2"/>
  <c r="AB50" i="2"/>
  <c r="N45" i="2"/>
  <c r="M45" i="2"/>
  <c r="L45" i="2"/>
  <c r="K45" i="2"/>
  <c r="J45" i="2"/>
  <c r="I45" i="2"/>
  <c r="H45" i="2"/>
  <c r="Z50" i="2"/>
  <c r="G45" i="2"/>
  <c r="F45" i="2"/>
  <c r="AA50" i="2"/>
  <c r="Z45" i="2"/>
  <c r="W48" i="2"/>
  <c r="AC50" i="2"/>
  <c r="AA45" i="2"/>
  <c r="AA48" i="2"/>
  <c r="E45" i="2"/>
  <c r="AB18" i="2"/>
  <c r="I48" i="2"/>
  <c r="K48" i="2"/>
  <c r="J48" i="2"/>
  <c r="H48" i="2"/>
  <c r="G48" i="2"/>
  <c r="F48" i="2"/>
  <c r="E48" i="2"/>
  <c r="D48" i="2"/>
  <c r="C48" i="2"/>
  <c r="N48" i="2"/>
  <c r="M48" i="2"/>
  <c r="L48" i="2"/>
  <c r="AB15" i="2"/>
  <c r="AC17" i="2"/>
  <c r="AB17" i="2"/>
  <c r="AB16" i="2"/>
  <c r="AD7" i="2"/>
  <c r="AE7" i="2" s="1"/>
  <c r="AF7" i="2" s="1"/>
  <c r="AG7" i="2" s="1"/>
  <c r="AH7" i="2" s="1"/>
  <c r="AI7" i="2" s="1"/>
  <c r="AJ7" i="2" s="1"/>
  <c r="Z11" i="2"/>
  <c r="AA11" i="2"/>
  <c r="AB22" i="2"/>
  <c r="AA43" i="2"/>
  <c r="AA33" i="2"/>
  <c r="AA36" i="2" s="1"/>
  <c r="AA38" i="2" s="1"/>
  <c r="AA39" i="2" s="1"/>
  <c r="AE40" i="2"/>
  <c r="AF40" i="2" s="1"/>
  <c r="AA15" i="2"/>
  <c r="AA16" i="2"/>
  <c r="AB32" i="2"/>
  <c r="AB11" i="2"/>
  <c r="R11" i="2"/>
  <c r="R20" i="2" s="1"/>
  <c r="R22" i="2" s="1"/>
  <c r="R25" i="2" s="1"/>
  <c r="Q11" i="2"/>
  <c r="Q20" i="2" s="1"/>
  <c r="Q22" i="2" s="1"/>
  <c r="Q25" i="2" s="1"/>
  <c r="P11" i="2"/>
  <c r="P20" i="2" s="1"/>
  <c r="P22" i="2" s="1"/>
  <c r="P25" i="2" s="1"/>
  <c r="W33" i="2"/>
  <c r="W36" i="2" s="1"/>
  <c r="W38" i="2" s="1"/>
  <c r="W39" i="2" s="1"/>
  <c r="X33" i="2"/>
  <c r="X36" i="2" s="1"/>
  <c r="X38" i="2" s="1"/>
  <c r="X39" i="2" s="1"/>
  <c r="Y33" i="2"/>
  <c r="Y36" i="2" s="1"/>
  <c r="Y38" i="2" s="1"/>
  <c r="Y39" i="2" s="1"/>
  <c r="Z33" i="2"/>
  <c r="Z36" i="2" s="1"/>
  <c r="Z38" i="2" s="1"/>
  <c r="Z39" i="2" s="1"/>
  <c r="K102" i="2"/>
  <c r="L102" i="2"/>
  <c r="J102" i="2"/>
  <c r="M102" i="2"/>
  <c r="H96" i="2"/>
  <c r="H114" i="2" s="1"/>
  <c r="N110" i="2"/>
  <c r="M110" i="2"/>
  <c r="K96" i="2"/>
  <c r="K114" i="2" s="1"/>
  <c r="L96" i="2"/>
  <c r="L114" i="2" s="1"/>
  <c r="N102" i="2"/>
  <c r="J96" i="2"/>
  <c r="J114" i="2" s="1"/>
  <c r="M96" i="2"/>
  <c r="M114" i="2" s="1"/>
  <c r="N96" i="2"/>
  <c r="N114" i="2" s="1"/>
  <c r="N68" i="2"/>
  <c r="N77" i="2"/>
  <c r="N79" i="2" s="1"/>
  <c r="H42" i="2"/>
  <c r="M42" i="2"/>
  <c r="L42" i="2"/>
  <c r="G42" i="2"/>
  <c r="K42" i="2"/>
  <c r="N42" i="2"/>
  <c r="J42" i="2"/>
  <c r="I42" i="2"/>
  <c r="D33" i="2"/>
  <c r="C33" i="2"/>
  <c r="F33" i="2"/>
  <c r="G33" i="2"/>
  <c r="E33" i="2"/>
  <c r="I33" i="2"/>
  <c r="H33" i="2"/>
  <c r="N33" i="2"/>
  <c r="K33" i="2"/>
  <c r="L33" i="2"/>
  <c r="J33" i="2"/>
  <c r="M33" i="2"/>
  <c r="AD31" i="2" l="1"/>
  <c r="AE31" i="2" s="1"/>
  <c r="AF31" i="2" s="1"/>
  <c r="AG31" i="2" s="1"/>
  <c r="AH31" i="2" s="1"/>
  <c r="AI31" i="2" s="1"/>
  <c r="AJ31" i="2" s="1"/>
  <c r="AK31" i="2" s="1"/>
  <c r="AL31" i="2" s="1"/>
  <c r="AK7" i="2"/>
  <c r="AL7" i="2" s="1"/>
  <c r="AC49" i="2"/>
  <c r="AD30" i="2"/>
  <c r="AE30" i="2" s="1"/>
  <c r="AF30" i="2" s="1"/>
  <c r="AG30" i="2" s="1"/>
  <c r="AH30" i="2" s="1"/>
  <c r="AI30" i="2" s="1"/>
  <c r="AJ30" i="2" s="1"/>
  <c r="AK30" i="2" s="1"/>
  <c r="AL30" i="2" s="1"/>
  <c r="AB24" i="2"/>
  <c r="AB43" i="2" s="1"/>
  <c r="AB45" i="2"/>
  <c r="AB48" i="2"/>
  <c r="AC47" i="2"/>
  <c r="AD28" i="2"/>
  <c r="AE28" i="2" s="1"/>
  <c r="AF28" i="2" s="1"/>
  <c r="AG28" i="2" s="1"/>
  <c r="AH28" i="2" s="1"/>
  <c r="AI28" i="2" s="1"/>
  <c r="AJ28" i="2" s="1"/>
  <c r="AK28" i="2" s="1"/>
  <c r="AL28" i="2" s="1"/>
  <c r="AD8" i="2"/>
  <c r="AE8" i="2" s="1"/>
  <c r="AF8" i="2" s="1"/>
  <c r="AG8" i="2" s="1"/>
  <c r="AH8" i="2" s="1"/>
  <c r="AI8" i="2" s="1"/>
  <c r="AJ8" i="2" s="1"/>
  <c r="AK8" i="2" s="1"/>
  <c r="AL8" i="2" s="1"/>
  <c r="AC16" i="2"/>
  <c r="AC18" i="2"/>
  <c r="AD9" i="2"/>
  <c r="AE9" i="2" s="1"/>
  <c r="AF9" i="2" s="1"/>
  <c r="AG9" i="2" s="1"/>
  <c r="AH9" i="2" s="1"/>
  <c r="AI9" i="2" s="1"/>
  <c r="AJ9" i="2" s="1"/>
  <c r="AK9" i="2" s="1"/>
  <c r="AL9" i="2" s="1"/>
  <c r="AD6" i="2"/>
  <c r="AC15" i="2"/>
  <c r="AC11" i="2"/>
  <c r="H112" i="2"/>
  <c r="N112" i="2"/>
  <c r="AB52" i="2"/>
  <c r="P24" i="2"/>
  <c r="P29" i="2" s="1"/>
  <c r="P32" i="2" s="1"/>
  <c r="P42" i="2"/>
  <c r="Q24" i="2"/>
  <c r="Q29" i="2" s="1"/>
  <c r="Q32" i="2" s="1"/>
  <c r="Q42" i="2"/>
  <c r="R24" i="2"/>
  <c r="R29" i="2" s="1"/>
  <c r="R32" i="2" s="1"/>
  <c r="R42" i="2"/>
  <c r="AG40" i="2"/>
  <c r="L112" i="2"/>
  <c r="K112" i="2"/>
  <c r="J112" i="2"/>
  <c r="M112" i="2"/>
  <c r="C36" i="2"/>
  <c r="C38" i="2" s="1"/>
  <c r="D36" i="2"/>
  <c r="D38" i="2" s="1"/>
  <c r="M36" i="2"/>
  <c r="M38" i="2" s="1"/>
  <c r="J36" i="2"/>
  <c r="J38" i="2" s="1"/>
  <c r="F36" i="2"/>
  <c r="F38" i="2" s="1"/>
  <c r="F82" i="2" s="1"/>
  <c r="H36" i="2"/>
  <c r="H38" i="2" s="1"/>
  <c r="I36" i="2"/>
  <c r="I38" i="2" s="1"/>
  <c r="G36" i="2"/>
  <c r="G38" i="2" s="1"/>
  <c r="L36" i="2"/>
  <c r="L38" i="2" s="1"/>
  <c r="N36" i="2"/>
  <c r="N38" i="2" s="1"/>
  <c r="E36" i="2"/>
  <c r="E38" i="2" s="1"/>
  <c r="K36" i="2"/>
  <c r="K38" i="2" s="1"/>
  <c r="AB33" i="2" l="1"/>
  <c r="AB36" i="2" s="1"/>
  <c r="AB38" i="2" s="1"/>
  <c r="AB39" i="2" s="1"/>
  <c r="AD27" i="2"/>
  <c r="AE27" i="2" s="1"/>
  <c r="AF27" i="2" s="1"/>
  <c r="AG27" i="2" s="1"/>
  <c r="AH27" i="2" s="1"/>
  <c r="AI27" i="2" s="1"/>
  <c r="AJ27" i="2" s="1"/>
  <c r="AK27" i="2" s="1"/>
  <c r="AL27" i="2" s="1"/>
  <c r="AC46" i="2"/>
  <c r="P33" i="2"/>
  <c r="P36" i="2" s="1"/>
  <c r="P37" i="2" s="1"/>
  <c r="P38" i="2" s="1"/>
  <c r="P39" i="2" s="1"/>
  <c r="AE6" i="2"/>
  <c r="AD11" i="2"/>
  <c r="AD20" i="2" s="1"/>
  <c r="Q33" i="2"/>
  <c r="Q36" i="2" s="1"/>
  <c r="R33" i="2"/>
  <c r="R36" i="2" s="1"/>
  <c r="AC42" i="2"/>
  <c r="AC22" i="2"/>
  <c r="AC45" i="2" s="1"/>
  <c r="AH40" i="2"/>
  <c r="D39" i="2"/>
  <c r="D82" i="2"/>
  <c r="C39" i="2"/>
  <c r="C82" i="2"/>
  <c r="L39" i="2"/>
  <c r="L82" i="2"/>
  <c r="I39" i="2"/>
  <c r="I82" i="2"/>
  <c r="J39" i="2"/>
  <c r="J82" i="2"/>
  <c r="K39" i="2"/>
  <c r="K82" i="2"/>
  <c r="G39" i="2"/>
  <c r="G82" i="2"/>
  <c r="M39" i="2"/>
  <c r="M82" i="2"/>
  <c r="E39" i="2"/>
  <c r="E82" i="2"/>
  <c r="H39" i="2"/>
  <c r="H82" i="2"/>
  <c r="N39" i="2"/>
  <c r="N82" i="2"/>
  <c r="F39" i="2"/>
  <c r="AC32" i="2" l="1"/>
  <c r="AC48" i="2"/>
  <c r="AD42" i="2"/>
  <c r="AF6" i="2"/>
  <c r="AE11" i="2"/>
  <c r="AE20" i="2" s="1"/>
  <c r="AC43" i="2"/>
  <c r="Q37" i="2"/>
  <c r="Q38" i="2" s="1"/>
  <c r="Q39" i="2" s="1"/>
  <c r="R37" i="2"/>
  <c r="R38" i="2" s="1"/>
  <c r="R39" i="2" s="1"/>
  <c r="AC36" i="2"/>
  <c r="AI40" i="2"/>
  <c r="AE42" i="2" l="1"/>
  <c r="AG6" i="2"/>
  <c r="AF11" i="2"/>
  <c r="AF20" i="2" s="1"/>
  <c r="AF42" i="2" s="1"/>
  <c r="AJ40" i="2"/>
  <c r="AC38" i="2" l="1"/>
  <c r="AC44" i="2"/>
  <c r="AD44" i="2" s="1"/>
  <c r="AE44" i="2" s="1"/>
  <c r="AF44" i="2" s="1"/>
  <c r="AG44" i="2" s="1"/>
  <c r="AH44" i="2" s="1"/>
  <c r="AI44" i="2" s="1"/>
  <c r="AJ44" i="2" s="1"/>
  <c r="AK44" i="2" s="1"/>
  <c r="AL44" i="2" s="1"/>
  <c r="AH6" i="2"/>
  <c r="AG11" i="2"/>
  <c r="AG20" i="2" s="1"/>
  <c r="AG42" i="2" s="1"/>
  <c r="AK40" i="2"/>
  <c r="Q52" i="2" l="1"/>
  <c r="R52" i="2" s="1"/>
  <c r="AI6" i="2"/>
  <c r="AH11" i="2"/>
  <c r="AH20" i="2" s="1"/>
  <c r="AH42" i="2" s="1"/>
  <c r="AC39" i="2"/>
  <c r="AL40" i="2"/>
  <c r="AD21" i="2" l="1"/>
  <c r="AD22" i="2" s="1"/>
  <c r="AI11" i="2"/>
  <c r="AI20" i="2" s="1"/>
  <c r="AI42" i="2" s="1"/>
  <c r="AJ6" i="2"/>
  <c r="AD29" i="2" l="1"/>
  <c r="AJ11" i="2"/>
  <c r="AJ20" i="2" s="1"/>
  <c r="AJ42" i="2" s="1"/>
  <c r="AK6" i="2"/>
  <c r="AD24" i="2"/>
  <c r="AD25" i="2" s="1"/>
  <c r="AD32" i="2" s="1"/>
  <c r="AD23" i="2" l="1"/>
  <c r="AD33" i="2"/>
  <c r="AD36" i="2" s="1"/>
  <c r="AD37" i="2" s="1"/>
  <c r="AL6" i="2"/>
  <c r="AK11" i="2"/>
  <c r="AK20" i="2" s="1"/>
  <c r="AK42" i="2" s="1"/>
  <c r="AD38" i="2" l="1"/>
  <c r="AL11" i="2"/>
  <c r="AL20" i="2" s="1"/>
  <c r="AL42" i="2" s="1"/>
  <c r="AD52" i="2" l="1"/>
  <c r="AE21" i="2" s="1"/>
  <c r="AE22" i="2" s="1"/>
  <c r="AD39" i="2"/>
  <c r="AE29" i="2" l="1"/>
  <c r="AE24" i="2"/>
  <c r="AE23" i="2" s="1"/>
  <c r="AE25" i="2" l="1"/>
  <c r="AE32" i="2" s="1"/>
  <c r="AE33" i="2" s="1"/>
  <c r="AE36" i="2" s="1"/>
  <c r="AE37" i="2" s="1"/>
  <c r="AE38" i="2" s="1"/>
  <c r="AE39" i="2" l="1"/>
  <c r="AE52" i="2"/>
  <c r="AF21" i="2" l="1"/>
  <c r="AF22" i="2" s="1"/>
  <c r="AF29" i="2" l="1"/>
  <c r="AF24" i="2"/>
  <c r="AF23" i="2" s="1"/>
  <c r="AF25" i="2" l="1"/>
  <c r="AF32" i="2" s="1"/>
  <c r="AF33" i="2" s="1"/>
  <c r="AF36" i="2" s="1"/>
  <c r="AF37" i="2" s="1"/>
  <c r="AF38" i="2" s="1"/>
  <c r="AF39" i="2" l="1"/>
  <c r="AF52" i="2"/>
  <c r="AG21" i="2" l="1"/>
  <c r="AG22" i="2" s="1"/>
  <c r="AG29" i="2" l="1"/>
  <c r="AG24" i="2"/>
  <c r="AG25" i="2" s="1"/>
  <c r="AG32" i="2" l="1"/>
  <c r="AG33" i="2" s="1"/>
  <c r="AG36" i="2" s="1"/>
  <c r="AG23" i="2"/>
  <c r="AG37" i="2" l="1"/>
  <c r="AG38" i="2" s="1"/>
  <c r="AG39" i="2" l="1"/>
  <c r="AG52" i="2"/>
  <c r="AH21" i="2" l="1"/>
  <c r="AH22" i="2" s="1"/>
  <c r="AH29" i="2" l="1"/>
  <c r="AH24" i="2"/>
  <c r="AH25" i="2" s="1"/>
  <c r="AH32" i="2" l="1"/>
  <c r="AH23" i="2"/>
  <c r="AH33" i="2"/>
  <c r="AH36" i="2" s="1"/>
  <c r="AH37" i="2" s="1"/>
  <c r="AH38" i="2" s="1"/>
  <c r="AH39" i="2" l="1"/>
  <c r="AH52" i="2"/>
  <c r="AI21" i="2" l="1"/>
  <c r="AI22" i="2" s="1"/>
  <c r="AI29" i="2" l="1"/>
  <c r="AI24" i="2"/>
  <c r="AI25" i="2" s="1"/>
  <c r="AI32" i="2" s="1"/>
  <c r="AI23" i="2" l="1"/>
  <c r="AI33" i="2"/>
  <c r="AI36" i="2" s="1"/>
  <c r="AI37" i="2" l="1"/>
  <c r="AI38" i="2" s="1"/>
  <c r="AI39" i="2" l="1"/>
  <c r="AI52" i="2"/>
  <c r="AJ21" i="2" l="1"/>
  <c r="AJ22" i="2" s="1"/>
  <c r="AJ29" i="2" l="1"/>
  <c r="AJ24" i="2"/>
  <c r="AJ23" i="2" s="1"/>
  <c r="I6" i="1"/>
  <c r="I9" i="1" s="1"/>
  <c r="AJ25" i="2" l="1"/>
  <c r="AJ32" i="2" s="1"/>
  <c r="AJ33" i="2" s="1"/>
  <c r="AJ36" i="2" s="1"/>
  <c r="AJ37" i="2" s="1"/>
  <c r="AJ38" i="2" s="1"/>
  <c r="AJ39" i="2" l="1"/>
  <c r="AJ52" i="2"/>
  <c r="AK21" i="2" l="1"/>
  <c r="AK22" i="2" s="1"/>
  <c r="AK29" i="2" l="1"/>
  <c r="AK24" i="2"/>
  <c r="AK23" i="2" s="1"/>
  <c r="AK25" i="2" l="1"/>
  <c r="AK32" i="2" s="1"/>
  <c r="AK33" i="2" s="1"/>
  <c r="AK36" i="2" s="1"/>
  <c r="AK37" i="2" s="1"/>
  <c r="AK38" i="2" s="1"/>
  <c r="AK39" i="2" l="1"/>
  <c r="AK52" i="2"/>
  <c r="AL21" i="2" s="1"/>
  <c r="AL22" i="2" s="1"/>
  <c r="AL29" i="2" l="1"/>
  <c r="AL24" i="2"/>
  <c r="AL25" i="2" s="1"/>
  <c r="AL32" i="2" s="1"/>
  <c r="AL23" i="2" l="1"/>
  <c r="AL33" i="2"/>
  <c r="AL36" i="2" s="1"/>
  <c r="AL37" i="2" s="1"/>
  <c r="AL38" i="2" s="1"/>
  <c r="AM38" i="2" s="1"/>
  <c r="AL39" i="2" l="1"/>
  <c r="AL52" i="2"/>
  <c r="AN38" i="2" l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CO38" i="2" s="1"/>
  <c r="CP38" i="2" s="1"/>
  <c r="CQ38" i="2" s="1"/>
  <c r="CR38" i="2" s="1"/>
  <c r="CS38" i="2" s="1"/>
  <c r="CT38" i="2" s="1"/>
  <c r="CU38" i="2" s="1"/>
  <c r="CV38" i="2" s="1"/>
  <c r="CW38" i="2" s="1"/>
  <c r="CX38" i="2" s="1"/>
  <c r="CY38" i="2" s="1"/>
  <c r="CZ38" i="2" s="1"/>
  <c r="DA38" i="2" s="1"/>
  <c r="DB38" i="2" s="1"/>
  <c r="DC38" i="2" s="1"/>
  <c r="DD38" i="2" s="1"/>
  <c r="DE38" i="2" s="1"/>
  <c r="DF38" i="2" s="1"/>
  <c r="DG38" i="2" s="1"/>
  <c r="DH38" i="2" s="1"/>
  <c r="DI38" i="2" s="1"/>
  <c r="DJ38" i="2" s="1"/>
  <c r="DK38" i="2" s="1"/>
  <c r="DL38" i="2" s="1"/>
  <c r="DM38" i="2" s="1"/>
  <c r="DN38" i="2" s="1"/>
  <c r="DO38" i="2" s="1"/>
  <c r="DP38" i="2" s="1"/>
  <c r="DQ38" i="2" s="1"/>
  <c r="DR38" i="2" s="1"/>
  <c r="DS38" i="2" s="1"/>
  <c r="DT38" i="2" s="1"/>
  <c r="DU38" i="2" s="1"/>
  <c r="DV38" i="2" s="1"/>
  <c r="DW38" i="2" s="1"/>
  <c r="DX38" i="2" s="1"/>
  <c r="DY38" i="2" s="1"/>
  <c r="DZ38" i="2" s="1"/>
  <c r="EA38" i="2" s="1"/>
  <c r="EB38" i="2" s="1"/>
  <c r="EC38" i="2" s="1"/>
  <c r="ED38" i="2" s="1"/>
  <c r="EE38" i="2" s="1"/>
  <c r="EF38" i="2" s="1"/>
  <c r="EG38" i="2" s="1"/>
  <c r="EH38" i="2" s="1"/>
  <c r="EI38" i="2" s="1"/>
  <c r="EJ38" i="2" s="1"/>
  <c r="EK38" i="2" s="1"/>
  <c r="EL38" i="2" s="1"/>
  <c r="EM38" i="2" s="1"/>
  <c r="EN38" i="2" s="1"/>
  <c r="EO38" i="2" s="1"/>
  <c r="EP38" i="2" s="1"/>
  <c r="EQ38" i="2" s="1"/>
  <c r="ER38" i="2" s="1"/>
  <c r="ES38" i="2" s="1"/>
  <c r="ET38" i="2" s="1"/>
  <c r="EU38" i="2" s="1"/>
  <c r="EV38" i="2" s="1"/>
  <c r="EW38" i="2" s="1"/>
  <c r="EX38" i="2" s="1"/>
  <c r="EY38" i="2" s="1"/>
  <c r="EZ38" i="2" s="1"/>
  <c r="FA38" i="2" s="1"/>
  <c r="FB38" i="2" s="1"/>
  <c r="FC38" i="2" s="1"/>
  <c r="FD38" i="2" s="1"/>
  <c r="FE38" i="2" s="1"/>
  <c r="FF38" i="2" s="1"/>
  <c r="FG38" i="2" s="1"/>
  <c r="FH38" i="2" s="1"/>
  <c r="FI38" i="2" s="1"/>
  <c r="FJ38" i="2" s="1"/>
  <c r="FK38" i="2" s="1"/>
  <c r="FL38" i="2" s="1"/>
  <c r="FM38" i="2" s="1"/>
  <c r="FN38" i="2" s="1"/>
  <c r="FO38" i="2" s="1"/>
  <c r="FP38" i="2" s="1"/>
  <c r="FQ38" i="2" s="1"/>
  <c r="FR38" i="2" s="1"/>
  <c r="FS38" i="2" s="1"/>
  <c r="FT38" i="2" s="1"/>
  <c r="FU38" i="2" s="1"/>
  <c r="FV38" i="2" s="1"/>
  <c r="FW38" i="2" s="1"/>
  <c r="FX38" i="2" s="1"/>
  <c r="FY38" i="2" s="1"/>
  <c r="FZ38" i="2" s="1"/>
  <c r="GA38" i="2" s="1"/>
  <c r="GB38" i="2" s="1"/>
  <c r="GC38" i="2" s="1"/>
  <c r="GD38" i="2" s="1"/>
  <c r="GE38" i="2" s="1"/>
  <c r="GF38" i="2" s="1"/>
  <c r="GG38" i="2" s="1"/>
  <c r="GH38" i="2" s="1"/>
  <c r="GI38" i="2" s="1"/>
  <c r="GJ38" i="2" s="1"/>
  <c r="GK38" i="2" s="1"/>
  <c r="GL38" i="2" s="1"/>
  <c r="GM38" i="2" s="1"/>
  <c r="GN38" i="2" s="1"/>
  <c r="GO38" i="2" s="1"/>
  <c r="GP38" i="2" s="1"/>
  <c r="GQ38" i="2" s="1"/>
  <c r="GR38" i="2" s="1"/>
  <c r="GS38" i="2" s="1"/>
  <c r="GT38" i="2" s="1"/>
  <c r="GU38" i="2" s="1"/>
  <c r="GV38" i="2" s="1"/>
  <c r="GW38" i="2" s="1"/>
  <c r="GX38" i="2" s="1"/>
  <c r="GY38" i="2" s="1"/>
  <c r="GZ38" i="2" s="1"/>
  <c r="HA38" i="2" s="1"/>
  <c r="AP57" i="2" l="1"/>
  <c r="AP58" i="2" s="1"/>
  <c r="AP59" i="2" s="1"/>
</calcChain>
</file>

<file path=xl/sharedStrings.xml><?xml version="1.0" encoding="utf-8"?>
<sst xmlns="http://schemas.openxmlformats.org/spreadsheetml/2006/main" count="154" uniqueCount="144">
  <si>
    <t>ZOMATO</t>
  </si>
  <si>
    <t>Management</t>
  </si>
  <si>
    <t>Notes</t>
  </si>
  <si>
    <t>Price</t>
  </si>
  <si>
    <t>Shares</t>
  </si>
  <si>
    <t>Cash</t>
  </si>
  <si>
    <t>Debt</t>
  </si>
  <si>
    <t>Market Cap</t>
  </si>
  <si>
    <t>EV</t>
  </si>
  <si>
    <t>Cr</t>
  </si>
  <si>
    <t>MD/CEO</t>
  </si>
  <si>
    <t>Deepinder Goyal</t>
  </si>
  <si>
    <t>Chairman</t>
  </si>
  <si>
    <t>Kaushik Dutta</t>
  </si>
  <si>
    <t>NED</t>
  </si>
  <si>
    <t>Sanjeev Bikhchandani</t>
  </si>
  <si>
    <t>Operating Revenue</t>
  </si>
  <si>
    <t>Other</t>
  </si>
  <si>
    <t>Revenue</t>
  </si>
  <si>
    <t>Stock Intrade</t>
  </si>
  <si>
    <t>del Inventory</t>
  </si>
  <si>
    <t>EBE</t>
  </si>
  <si>
    <t>FC</t>
  </si>
  <si>
    <t>D&amp;A</t>
  </si>
  <si>
    <t>Advertisment</t>
  </si>
  <si>
    <t>OpEx</t>
  </si>
  <si>
    <t>OpInc</t>
  </si>
  <si>
    <t>JV</t>
  </si>
  <si>
    <t>Exceptional</t>
  </si>
  <si>
    <t>Pretax Income</t>
  </si>
  <si>
    <t>Taxes</t>
  </si>
  <si>
    <t>Net Income</t>
  </si>
  <si>
    <t>EPS</t>
  </si>
  <si>
    <t>Delivery Charges</t>
  </si>
  <si>
    <t>Gross Profit</t>
  </si>
  <si>
    <t>Q424</t>
  </si>
  <si>
    <t>Q324</t>
  </si>
  <si>
    <t>Q423</t>
  </si>
  <si>
    <t>Q222</t>
  </si>
  <si>
    <t>Q224</t>
  </si>
  <si>
    <t>Q124</t>
  </si>
  <si>
    <t>Q323</t>
  </si>
  <si>
    <t>Q223</t>
  </si>
  <si>
    <t>Q123</t>
  </si>
  <si>
    <t>Revenue Growth</t>
  </si>
  <si>
    <t>Gross Margin</t>
  </si>
  <si>
    <t>Q422</t>
  </si>
  <si>
    <t>Q322</t>
  </si>
  <si>
    <t>Model NI</t>
  </si>
  <si>
    <t>Reported NI</t>
  </si>
  <si>
    <t>Q122</t>
  </si>
  <si>
    <t>Q125</t>
  </si>
  <si>
    <t>Q225</t>
  </si>
  <si>
    <t>Q325</t>
  </si>
  <si>
    <t>Q425</t>
  </si>
  <si>
    <t>BS</t>
  </si>
  <si>
    <t xml:space="preserve"> </t>
  </si>
  <si>
    <t>PPE</t>
  </si>
  <si>
    <t>CWIP</t>
  </si>
  <si>
    <t>ROU Assets</t>
  </si>
  <si>
    <t>Goodwill</t>
  </si>
  <si>
    <t>Other Intangible</t>
  </si>
  <si>
    <t>Investments</t>
  </si>
  <si>
    <t>OFA</t>
  </si>
  <si>
    <t>Tax Assets</t>
  </si>
  <si>
    <t>ONCA</t>
  </si>
  <si>
    <t>Loans</t>
  </si>
  <si>
    <t>OCA</t>
  </si>
  <si>
    <t>Assets</t>
  </si>
  <si>
    <t>Borrowings</t>
  </si>
  <si>
    <t>Lease</t>
  </si>
  <si>
    <t>OFL</t>
  </si>
  <si>
    <t>Provisions</t>
  </si>
  <si>
    <t>Deferred tax liabilites</t>
  </si>
  <si>
    <t>TP</t>
  </si>
  <si>
    <t>OCL</t>
  </si>
  <si>
    <t>Liabilities</t>
  </si>
  <si>
    <t>SE</t>
  </si>
  <si>
    <t>SE+L</t>
  </si>
  <si>
    <t>Net Cash</t>
  </si>
  <si>
    <t>Inventories</t>
  </si>
  <si>
    <t>TR</t>
  </si>
  <si>
    <t>CF</t>
  </si>
  <si>
    <t>Depreciation</t>
  </si>
  <si>
    <t>Amortization</t>
  </si>
  <si>
    <t>Writeoffs/provision</t>
  </si>
  <si>
    <t>Share payments</t>
  </si>
  <si>
    <t>Gain on securities</t>
  </si>
  <si>
    <t>Interest</t>
  </si>
  <si>
    <t>WC</t>
  </si>
  <si>
    <t>Tax</t>
  </si>
  <si>
    <t>CFFO</t>
  </si>
  <si>
    <t>Capex</t>
  </si>
  <si>
    <t>Acquisitions</t>
  </si>
  <si>
    <t>CFFI</t>
  </si>
  <si>
    <t>Stock Issue</t>
  </si>
  <si>
    <t>Debt Retirement</t>
  </si>
  <si>
    <t>Float cost of equity</t>
  </si>
  <si>
    <t>SBC</t>
  </si>
  <si>
    <t>LL principal/interest</t>
  </si>
  <si>
    <t>CFFF</t>
  </si>
  <si>
    <t>FX</t>
  </si>
  <si>
    <t>CIC</t>
  </si>
  <si>
    <t>FCF</t>
  </si>
  <si>
    <t>Food Delivery AR</t>
  </si>
  <si>
    <t>Hyperpure</t>
  </si>
  <si>
    <t>Quick Commerce</t>
  </si>
  <si>
    <t>Going Out Revenue</t>
  </si>
  <si>
    <t>Adj OpRev</t>
  </si>
  <si>
    <t>customer delivery charges</t>
  </si>
  <si>
    <t>platform fee</t>
  </si>
  <si>
    <t>Blinkit acquired by zomato 24th June 2022 (Q123)</t>
  </si>
  <si>
    <t>Food del rev growth</t>
  </si>
  <si>
    <t>Hyperpure growth</t>
  </si>
  <si>
    <t>Blinkit growth</t>
  </si>
  <si>
    <t>Going out rev</t>
  </si>
  <si>
    <t>FY2019</t>
  </si>
  <si>
    <t>FY2020</t>
  </si>
  <si>
    <t>FY2021</t>
  </si>
  <si>
    <t>FY2022</t>
  </si>
  <si>
    <t>FY2023</t>
  </si>
  <si>
    <t>FY2024</t>
  </si>
  <si>
    <t>FY2025</t>
  </si>
  <si>
    <t>FY2026</t>
  </si>
  <si>
    <t>FY2027</t>
  </si>
  <si>
    <t>FY2028</t>
  </si>
  <si>
    <t>FY2029</t>
  </si>
  <si>
    <t>FY2030</t>
  </si>
  <si>
    <t>FY2031</t>
  </si>
  <si>
    <t>FY2032</t>
  </si>
  <si>
    <t>FY2033</t>
  </si>
  <si>
    <t>FY2034</t>
  </si>
  <si>
    <t>Tax rate</t>
  </si>
  <si>
    <t>Terminal</t>
  </si>
  <si>
    <t>ROIC</t>
  </si>
  <si>
    <t>Discount</t>
  </si>
  <si>
    <t>NPV</t>
  </si>
  <si>
    <t>Finance Cost growth</t>
  </si>
  <si>
    <t>D&amp;A/Sales</t>
  </si>
  <si>
    <t>Advertisment Growth</t>
  </si>
  <si>
    <t>OtherEx Growth</t>
  </si>
  <si>
    <t>EBE Growth</t>
  </si>
  <si>
    <t>SIT/Sales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</si>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</sst>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14" fontId="0" fillId="0" borderId="0" xfId="0" applyNumberFormat="1"/>
    <xf numFmtId="9" fontId="0" fillId="0" borderId="0" xfId="1" applyFont="1"/>
    <xf numFmtId="1" fontId="0" fillId="0" borderId="0" xfId="0" applyNumberFormat="1"/>
    <xf numFmtId="4" fontId="0" fillId="0" borderId="0" xfId="0" applyNumberFormat="1"/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47625</xdr:rowOff>
    </xdr:from>
    <xdr:to>
      <xdr:col>28</xdr:col>
      <xdr:colOff>0</xdr:colOff>
      <xdr:row>67</xdr:row>
      <xdr:rowOff>142875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1895EBD-7A50-581E-9F86-A101669FD31D}"/>
            </a:ext>
          </a:extLst>
        </xdr:cNvPr>
        <xdr:cNvCxnSpPr/>
      </xdr:nvCxnSpPr>
      <xdr:spPr>
        <a:xfrm>
          <a:off x="19716750" y="47625"/>
          <a:ext cx="0" cy="10772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719137</xdr:colOff>
      <xdr:row>0</xdr:row>
      <xdr:rowOff>0</xdr:rowOff>
    </xdr:from>
    <xdr:to>
      <xdr:col>14</xdr:col>
      <xdr:colOff>719137</xdr:colOff>
      <xdr:row>126</xdr:row>
      <xdr:rowOff>61913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DF7F74-F4E1-5E48-53BC-48A8CB2A3439}"/>
            </a:ext>
          </a:extLst>
        </xdr:cNvPr>
        <xdr:cNvCxnSpPr/>
      </xdr:nvCxnSpPr>
      <xdr:spPr>
        <a:xfrm flipV="1">
          <a:off x="11287125" y="0"/>
          <a:ext cx="0" cy="2286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EB42-1F91-4E00-BE77-874C1615741D}">
  <dimension ref="B3:I19"/>
  <sheetViews>
    <sheetView topLeftCell="A3" workbookViewId="0">
      <selection activeCell="I9" sqref="I9"/>
    </sheetView>
  </sheetViews>
  <sheetFormatPr defaultRowHeight="14.25" x14ac:dyDescent="0.45"/>
  <cols>
    <col min="8" max="8" width="9.86328125" bestFit="1" customWidth="1"/>
    <col min="9" max="9" width="11.73046875" customWidth="1"/>
  </cols>
  <sheetData>
    <row r="3" spans="2:9" x14ac:dyDescent="0.45">
      <c r="I3" s="5" t="s">
        <v>9</v>
      </c>
    </row>
    <row r="4" spans="2:9" x14ac:dyDescent="0.45">
      <c r="B4" s="1" t="s">
        <v>0</v>
      </c>
      <c r="H4" t="s">
        <v>3</v>
      </c>
      <c r="I4" s="2">
        <v>260.02999999999997</v>
      </c>
    </row>
    <row r="5" spans="2:9" x14ac:dyDescent="0.45">
      <c r="H5" t="s">
        <v>4</v>
      </c>
      <c r="I5" s="3">
        <v>870</v>
      </c>
    </row>
    <row r="6" spans="2:9" x14ac:dyDescent="0.45">
      <c r="H6" t="s">
        <v>7</v>
      </c>
      <c r="I6" s="4">
        <f>I4*I5</f>
        <v>226226.09999999998</v>
      </c>
    </row>
    <row r="7" spans="2:9" x14ac:dyDescent="0.45">
      <c r="H7" t="s">
        <v>5</v>
      </c>
      <c r="I7">
        <v>472</v>
      </c>
    </row>
    <row r="8" spans="2:9" x14ac:dyDescent="0.45">
      <c r="H8" t="s">
        <v>6</v>
      </c>
      <c r="I8">
        <v>886</v>
      </c>
    </row>
    <row r="9" spans="2:9" x14ac:dyDescent="0.45">
      <c r="H9" t="s">
        <v>8</v>
      </c>
      <c r="I9" s="4">
        <f>I6-I7+I8</f>
        <v>226640.09999999998</v>
      </c>
    </row>
    <row r="16" spans="2:9" x14ac:dyDescent="0.45">
      <c r="B16" s="1" t="s">
        <v>1</v>
      </c>
      <c r="H16" s="1" t="s">
        <v>2</v>
      </c>
    </row>
    <row r="17" spans="2:8" x14ac:dyDescent="0.45">
      <c r="B17" s="1" t="s">
        <v>10</v>
      </c>
      <c r="C17" t="s">
        <v>11</v>
      </c>
      <c r="H17" t="s">
        <v>111</v>
      </c>
    </row>
    <row r="18" spans="2:8" x14ac:dyDescent="0.45">
      <c r="B18" s="1" t="s">
        <v>12</v>
      </c>
      <c r="C18" t="s">
        <v>13</v>
      </c>
    </row>
    <row r="19" spans="2:8" x14ac:dyDescent="0.45">
      <c r="B19" s="1" t="s">
        <v>14</v>
      </c>
      <c r="C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2BCD-B6D0-4CDC-A77D-152B992CCD3A}">
  <dimension ref="A1:HA114"/>
  <sheetViews>
    <sheetView tabSelected="1" zoomScaleNormal="100"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D12" sqref="AD12"/>
    </sheetView>
  </sheetViews>
  <sheetFormatPr defaultRowHeight="14.25" x14ac:dyDescent="0.45"/>
  <cols>
    <col min="2" max="2" width="16.46484375" bestFit="1" customWidth="1"/>
    <col min="3" max="3" width="10.19921875" style="3" bestFit="1" customWidth="1"/>
    <col min="4" max="4" width="10.19921875" style="3" customWidth="1"/>
    <col min="5" max="14" width="10.19921875" style="3" bestFit="1" customWidth="1"/>
    <col min="15" max="15" width="10.19921875" style="3" customWidth="1"/>
    <col min="16" max="22" width="9.06640625" style="3"/>
    <col min="23" max="28" width="10.19921875" style="3" bestFit="1" customWidth="1"/>
    <col min="29" max="41" width="9.06640625" style="3"/>
    <col min="42" max="42" width="10.1328125" style="3" bestFit="1" customWidth="1"/>
    <col min="43" max="16384" width="9.06640625" style="3"/>
  </cols>
  <sheetData>
    <row r="1" spans="2:41" customFormat="1" x14ac:dyDescent="0.45">
      <c r="C1" s="11">
        <v>44377</v>
      </c>
      <c r="D1" s="11">
        <v>44469</v>
      </c>
      <c r="E1" s="11">
        <v>44561</v>
      </c>
      <c r="F1" s="11">
        <v>44651</v>
      </c>
      <c r="G1" s="11">
        <v>44742</v>
      </c>
      <c r="H1" s="11">
        <v>44834</v>
      </c>
      <c r="I1" s="11">
        <v>44926</v>
      </c>
      <c r="J1" s="11">
        <v>45016</v>
      </c>
      <c r="K1" s="11">
        <v>45107</v>
      </c>
      <c r="L1" s="11">
        <v>45199</v>
      </c>
      <c r="M1" s="11">
        <v>45291</v>
      </c>
      <c r="N1" s="11">
        <v>45382</v>
      </c>
      <c r="O1" s="11">
        <v>45473</v>
      </c>
      <c r="P1" s="13">
        <v>1</v>
      </c>
      <c r="Q1" s="13">
        <f t="shared" ref="Q1:R1" si="0">P1+1</f>
        <v>2</v>
      </c>
      <c r="R1" s="13">
        <f t="shared" si="0"/>
        <v>3</v>
      </c>
      <c r="W1" s="11">
        <v>43555</v>
      </c>
      <c r="X1" s="11">
        <v>43921</v>
      </c>
      <c r="Y1" s="11">
        <v>44286</v>
      </c>
      <c r="Z1" s="11">
        <v>44651</v>
      </c>
      <c r="AA1" s="11">
        <v>45016</v>
      </c>
      <c r="AB1" s="11">
        <v>45382</v>
      </c>
      <c r="AC1">
        <f>1</f>
        <v>1</v>
      </c>
      <c r="AD1">
        <f>AC1+1</f>
        <v>2</v>
      </c>
      <c r="AE1">
        <f t="shared" ref="AE1:AL1" si="1">AD1+1</f>
        <v>3</v>
      </c>
      <c r="AF1">
        <f>AE1+1</f>
        <v>4</v>
      </c>
      <c r="AG1">
        <f t="shared" si="1"/>
        <v>5</v>
      </c>
      <c r="AH1">
        <f t="shared" si="1"/>
        <v>6</v>
      </c>
      <c r="AI1">
        <f t="shared" si="1"/>
        <v>7</v>
      </c>
      <c r="AJ1">
        <f t="shared" si="1"/>
        <v>8</v>
      </c>
      <c r="AK1">
        <f t="shared" si="1"/>
        <v>9</v>
      </c>
      <c r="AL1">
        <f t="shared" si="1"/>
        <v>10</v>
      </c>
    </row>
    <row r="2" spans="2:41" customFormat="1" x14ac:dyDescent="0.45">
      <c r="C2" s="5" t="s">
        <v>50</v>
      </c>
      <c r="D2" s="5" t="s">
        <v>38</v>
      </c>
      <c r="E2" s="5" t="s">
        <v>47</v>
      </c>
      <c r="F2" s="5" t="s">
        <v>46</v>
      </c>
      <c r="G2" s="5" t="s">
        <v>43</v>
      </c>
      <c r="H2" s="5" t="s">
        <v>42</v>
      </c>
      <c r="I2" s="5" t="s">
        <v>41</v>
      </c>
      <c r="J2" s="5" t="s">
        <v>37</v>
      </c>
      <c r="K2" s="5" t="s">
        <v>40</v>
      </c>
      <c r="L2" s="5" t="s">
        <v>39</v>
      </c>
      <c r="M2" s="5" t="s">
        <v>36</v>
      </c>
      <c r="N2" s="5" t="s">
        <v>35</v>
      </c>
      <c r="O2" s="5" t="s">
        <v>51</v>
      </c>
      <c r="P2" s="5" t="s">
        <v>52</v>
      </c>
      <c r="Q2" s="5" t="s">
        <v>53</v>
      </c>
      <c r="R2" s="5" t="s">
        <v>54</v>
      </c>
      <c r="W2" s="5" t="s">
        <v>116</v>
      </c>
      <c r="X2" s="5" t="s">
        <v>117</v>
      </c>
      <c r="Y2" s="5" t="s">
        <v>118</v>
      </c>
      <c r="Z2" s="5" t="s">
        <v>119</v>
      </c>
      <c r="AA2" s="5" t="s">
        <v>120</v>
      </c>
      <c r="AB2" s="5" t="s">
        <v>121</v>
      </c>
      <c r="AC2" s="5" t="s">
        <v>122</v>
      </c>
      <c r="AD2" s="5" t="s">
        <v>123</v>
      </c>
      <c r="AE2" s="5" t="s">
        <v>124</v>
      </c>
      <c r="AF2" s="5" t="s">
        <v>125</v>
      </c>
      <c r="AG2" s="5" t="s">
        <v>126</v>
      </c>
      <c r="AH2" s="5" t="s">
        <v>127</v>
      </c>
      <c r="AI2" s="5" t="s">
        <v>128</v>
      </c>
      <c r="AJ2" s="5" t="s">
        <v>129</v>
      </c>
      <c r="AK2" s="5" t="s">
        <v>130</v>
      </c>
      <c r="AL2" s="5" t="s">
        <v>131</v>
      </c>
      <c r="AM2" s="5"/>
      <c r="AN2" s="5"/>
      <c r="AO2" s="5"/>
    </row>
    <row r="3" spans="2:41" customFormat="1" x14ac:dyDescent="0.4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2:41" customFormat="1" x14ac:dyDescent="0.45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6" spans="2:41" x14ac:dyDescent="0.45">
      <c r="B6" s="5" t="s">
        <v>104</v>
      </c>
      <c r="C6" s="3">
        <v>1030</v>
      </c>
      <c r="D6" s="3">
        <v>1250</v>
      </c>
      <c r="E6" s="3">
        <v>1200</v>
      </c>
      <c r="F6" s="3">
        <v>1284</v>
      </c>
      <c r="G6" s="3">
        <v>1470</v>
      </c>
      <c r="H6" s="3">
        <v>1581</v>
      </c>
      <c r="I6" s="3">
        <v>1565</v>
      </c>
      <c r="J6" s="3">
        <v>1530</v>
      </c>
      <c r="K6" s="3">
        <v>1724</v>
      </c>
      <c r="L6" s="3">
        <v>1938</v>
      </c>
      <c r="M6" s="3">
        <v>2062</v>
      </c>
      <c r="N6" s="3">
        <v>2050</v>
      </c>
      <c r="O6" s="3">
        <v>2256</v>
      </c>
      <c r="P6" s="3">
        <f t="shared" ref="P6:R9" si="2">L6*(1+P15)</f>
        <v>2519.4</v>
      </c>
      <c r="Q6" s="3">
        <f t="shared" si="2"/>
        <v>2680.6</v>
      </c>
      <c r="R6" s="3">
        <f t="shared" si="2"/>
        <v>2665</v>
      </c>
      <c r="Z6" s="3">
        <f>SUM(C6:F6)</f>
        <v>4764</v>
      </c>
      <c r="AA6" s="3">
        <f>SUM(G6:J6)</f>
        <v>6146</v>
      </c>
      <c r="AB6" s="3">
        <f>SUM(K6:N6)</f>
        <v>7774</v>
      </c>
      <c r="AC6" s="3">
        <f>SUM(O6:R6)</f>
        <v>10121</v>
      </c>
      <c r="AD6" s="3">
        <f t="shared" ref="AD6:AL7" si="3">AC6*(1+AD15)</f>
        <v>12651.25</v>
      </c>
      <c r="AE6" s="3">
        <f t="shared" si="3"/>
        <v>15814.0625</v>
      </c>
      <c r="AF6" s="3">
        <f t="shared" si="3"/>
        <v>19767.578125</v>
      </c>
      <c r="AG6" s="3">
        <f t="shared" si="3"/>
        <v>22732.71484375</v>
      </c>
      <c r="AH6" s="3">
        <f t="shared" si="3"/>
        <v>26142.622070312496</v>
      </c>
      <c r="AI6" s="3">
        <f t="shared" si="3"/>
        <v>30064.015380859368</v>
      </c>
      <c r="AJ6" s="3">
        <f t="shared" si="3"/>
        <v>34573.61768798827</v>
      </c>
      <c r="AK6" s="3">
        <f t="shared" si="3"/>
        <v>39759.660341186507</v>
      </c>
      <c r="AL6" s="3">
        <f t="shared" si="3"/>
        <v>45723.60939236448</v>
      </c>
    </row>
    <row r="7" spans="2:41" x14ac:dyDescent="0.45">
      <c r="B7" s="5" t="s">
        <v>105</v>
      </c>
      <c r="C7" s="3">
        <v>80</v>
      </c>
      <c r="D7" s="3">
        <v>110</v>
      </c>
      <c r="E7" s="3">
        <v>157</v>
      </c>
      <c r="F7" s="3">
        <v>194</v>
      </c>
      <c r="G7" s="3">
        <v>273</v>
      </c>
      <c r="H7" s="3">
        <v>334</v>
      </c>
      <c r="I7" s="3">
        <v>421</v>
      </c>
      <c r="J7" s="3">
        <v>478</v>
      </c>
      <c r="K7" s="3">
        <v>617</v>
      </c>
      <c r="L7" s="3">
        <v>745</v>
      </c>
      <c r="M7" s="3">
        <v>859</v>
      </c>
      <c r="N7" s="3">
        <v>951</v>
      </c>
      <c r="O7" s="3">
        <v>1212</v>
      </c>
      <c r="P7" s="3">
        <f t="shared" si="2"/>
        <v>1341</v>
      </c>
      <c r="Q7" s="3">
        <f t="shared" si="2"/>
        <v>1546.2</v>
      </c>
      <c r="R7" s="3">
        <f t="shared" si="2"/>
        <v>1711.8</v>
      </c>
      <c r="Z7" s="3">
        <f>SUM(C7:F7)</f>
        <v>541</v>
      </c>
      <c r="AA7" s="3">
        <f>SUM(G7:J7)</f>
        <v>1506</v>
      </c>
      <c r="AB7" s="3">
        <f>SUM(K7:N7)</f>
        <v>3172</v>
      </c>
      <c r="AC7" s="3">
        <f t="shared" ref="AC7:AC10" si="4">SUM(O7:R7)</f>
        <v>5811</v>
      </c>
      <c r="AD7" s="3">
        <f t="shared" ref="AD7:AL7" si="5">AC7*(1+AD16)</f>
        <v>8716.5</v>
      </c>
      <c r="AE7" s="3">
        <f t="shared" si="5"/>
        <v>13074.75</v>
      </c>
      <c r="AF7" s="3">
        <f t="shared" si="5"/>
        <v>19612.125</v>
      </c>
      <c r="AG7" s="3">
        <f t="shared" si="5"/>
        <v>25495.762500000001</v>
      </c>
      <c r="AH7" s="3">
        <f t="shared" si="5"/>
        <v>33144.491249999999</v>
      </c>
      <c r="AI7" s="3">
        <f t="shared" si="5"/>
        <v>43087.838625000004</v>
      </c>
      <c r="AJ7" s="3">
        <f t="shared" si="5"/>
        <v>56014.190212500005</v>
      </c>
      <c r="AK7" s="3">
        <f t="shared" si="3"/>
        <v>72818.447276250008</v>
      </c>
      <c r="AL7" s="3">
        <f t="shared" si="5"/>
        <v>94663.981459125018</v>
      </c>
    </row>
    <row r="8" spans="2:41" x14ac:dyDescent="0.45">
      <c r="B8" s="5" t="s">
        <v>106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142</v>
      </c>
      <c r="I8" s="3">
        <v>301</v>
      </c>
      <c r="J8" s="3">
        <v>363</v>
      </c>
      <c r="K8" s="3">
        <v>384</v>
      </c>
      <c r="L8" s="3">
        <v>505</v>
      </c>
      <c r="M8" s="3">
        <v>644</v>
      </c>
      <c r="N8" s="3">
        <v>769</v>
      </c>
      <c r="O8" s="3">
        <v>942</v>
      </c>
      <c r="P8" s="3">
        <f t="shared" si="2"/>
        <v>909</v>
      </c>
      <c r="Q8" s="3">
        <f t="shared" si="2"/>
        <v>1159.2</v>
      </c>
      <c r="R8" s="3">
        <f t="shared" si="2"/>
        <v>1384.2</v>
      </c>
      <c r="Z8" s="3">
        <f>SUM(C8:F8)</f>
        <v>0</v>
      </c>
      <c r="AA8" s="3">
        <f>SUM(G8:J8)</f>
        <v>806</v>
      </c>
      <c r="AB8" s="3">
        <f>SUM(K8:N8)</f>
        <v>2302</v>
      </c>
      <c r="AC8" s="3">
        <f t="shared" si="4"/>
        <v>4394.3999999999996</v>
      </c>
      <c r="AD8" s="3">
        <f t="shared" ref="AD8:AL8" si="6">AC8*(1+AD17)</f>
        <v>7470.48</v>
      </c>
      <c r="AE8" s="3">
        <f t="shared" si="6"/>
        <v>12699.815999999999</v>
      </c>
      <c r="AF8" s="3">
        <f t="shared" si="6"/>
        <v>21589.687199999997</v>
      </c>
      <c r="AG8" s="3">
        <f t="shared" si="6"/>
        <v>29146.077719999997</v>
      </c>
      <c r="AH8" s="3">
        <f t="shared" si="6"/>
        <v>39347.204921999997</v>
      </c>
      <c r="AI8" s="3">
        <f t="shared" si="6"/>
        <v>53118.7266447</v>
      </c>
      <c r="AJ8" s="3">
        <f t="shared" si="6"/>
        <v>71710.280970345004</v>
      </c>
      <c r="AK8" s="3">
        <f t="shared" si="6"/>
        <v>96808.879309965763</v>
      </c>
      <c r="AL8" s="3">
        <f t="shared" si="6"/>
        <v>116170.65517195892</v>
      </c>
    </row>
    <row r="9" spans="2:41" x14ac:dyDescent="0.45">
      <c r="B9" s="5" t="s">
        <v>107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41</v>
      </c>
      <c r="K9" s="3">
        <v>42</v>
      </c>
      <c r="L9" s="3">
        <v>49</v>
      </c>
      <c r="M9" s="3">
        <v>73</v>
      </c>
      <c r="N9" s="3">
        <v>93</v>
      </c>
      <c r="O9" s="3">
        <v>95</v>
      </c>
      <c r="P9" s="3">
        <f t="shared" si="2"/>
        <v>132.30000000000001</v>
      </c>
      <c r="Q9" s="3">
        <f t="shared" si="2"/>
        <v>197.10000000000002</v>
      </c>
      <c r="R9" s="3">
        <f t="shared" si="2"/>
        <v>251.10000000000002</v>
      </c>
      <c r="Z9" s="3">
        <f>SUM(C9:F9)</f>
        <v>0</v>
      </c>
      <c r="AA9" s="3">
        <f>SUM(G9:J9)</f>
        <v>41</v>
      </c>
      <c r="AB9" s="3">
        <f>SUM(K9:N9)</f>
        <v>257</v>
      </c>
      <c r="AC9" s="3">
        <f t="shared" si="4"/>
        <v>675.5</v>
      </c>
      <c r="AD9" s="3">
        <f t="shared" ref="AD9:AL9" si="7">AC9*(1+AD18)</f>
        <v>1688.75</v>
      </c>
      <c r="AE9" s="3">
        <f t="shared" si="7"/>
        <v>4221.875</v>
      </c>
      <c r="AF9" s="3">
        <f t="shared" si="7"/>
        <v>9710.3125</v>
      </c>
      <c r="AG9" s="3">
        <f t="shared" si="7"/>
        <v>16993.046875</v>
      </c>
      <c r="AH9" s="3">
        <f t="shared" si="7"/>
        <v>29737.83203125</v>
      </c>
      <c r="AI9" s="3">
        <f t="shared" si="7"/>
        <v>52041.2060546875</v>
      </c>
      <c r="AJ9" s="3">
        <f t="shared" si="7"/>
        <v>78061.80908203125</v>
      </c>
      <c r="AK9" s="3">
        <f t="shared" si="7"/>
        <v>117092.71362304688</v>
      </c>
      <c r="AL9" s="3">
        <f t="shared" si="7"/>
        <v>163929.79907226563</v>
      </c>
    </row>
    <row r="10" spans="2:41" x14ac:dyDescent="0.45">
      <c r="B10" s="5" t="s">
        <v>17</v>
      </c>
      <c r="C10" s="3">
        <v>50</v>
      </c>
      <c r="D10" s="3">
        <v>60</v>
      </c>
      <c r="E10" s="3">
        <v>66</v>
      </c>
      <c r="F10" s="3">
        <v>61</v>
      </c>
      <c r="G10" s="3">
        <v>67</v>
      </c>
      <c r="H10" s="3">
        <v>49</v>
      </c>
      <c r="I10" s="3">
        <v>75</v>
      </c>
      <c r="J10" s="3">
        <v>2</v>
      </c>
      <c r="K10" s="3">
        <v>1</v>
      </c>
      <c r="L10" s="3">
        <v>3</v>
      </c>
      <c r="M10" s="3">
        <v>8</v>
      </c>
      <c r="N10" s="3">
        <v>10</v>
      </c>
      <c r="O10" s="3">
        <v>15</v>
      </c>
      <c r="P10" s="3">
        <v>0</v>
      </c>
      <c r="Q10" s="3">
        <v>0</v>
      </c>
      <c r="R10" s="3">
        <v>0</v>
      </c>
      <c r="Z10" s="3">
        <f>SUM(C10:F10)</f>
        <v>237</v>
      </c>
      <c r="AA10" s="3">
        <f>SUM(G10:J10)</f>
        <v>193</v>
      </c>
      <c r="AB10" s="3">
        <f>SUM(K10:N10)</f>
        <v>22</v>
      </c>
      <c r="AC10" s="3">
        <f t="shared" si="4"/>
        <v>15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</row>
    <row r="11" spans="2:41" x14ac:dyDescent="0.45">
      <c r="B11" s="6" t="s">
        <v>108</v>
      </c>
      <c r="C11" s="8">
        <f t="shared" ref="C11:D11" si="8">SUM(C6:C10)</f>
        <v>1160</v>
      </c>
      <c r="D11" s="8">
        <f t="shared" si="8"/>
        <v>1420</v>
      </c>
      <c r="E11" s="8">
        <f>SUM(E6:E10)</f>
        <v>1423</v>
      </c>
      <c r="F11" s="8">
        <f t="shared" ref="F11:I11" si="9">SUM(F6:F10)</f>
        <v>1539</v>
      </c>
      <c r="G11" s="8">
        <f t="shared" si="9"/>
        <v>1810</v>
      </c>
      <c r="H11" s="8">
        <f t="shared" si="9"/>
        <v>2106</v>
      </c>
      <c r="I11" s="8">
        <f t="shared" si="9"/>
        <v>2362</v>
      </c>
      <c r="J11" s="8">
        <f>SUM(J6:J10)</f>
        <v>2414</v>
      </c>
      <c r="K11" s="8">
        <f t="shared" ref="K11:O11" si="10">SUM(K6:K10)</f>
        <v>2768</v>
      </c>
      <c r="L11" s="8">
        <f t="shared" si="10"/>
        <v>3240</v>
      </c>
      <c r="M11" s="8">
        <f t="shared" si="10"/>
        <v>3646</v>
      </c>
      <c r="N11" s="8">
        <f t="shared" si="10"/>
        <v>3873</v>
      </c>
      <c r="O11" s="8">
        <f t="shared" si="10"/>
        <v>4520</v>
      </c>
      <c r="P11" s="8">
        <f t="shared" ref="P11" si="11">SUM(P6:P10)</f>
        <v>4901.7</v>
      </c>
      <c r="Q11" s="8">
        <f t="shared" ref="Q11" si="12">SUM(Q6:Q10)</f>
        <v>5583.1</v>
      </c>
      <c r="R11" s="8">
        <f t="shared" ref="R11" si="13">SUM(R6:R10)</f>
        <v>6012.1</v>
      </c>
      <c r="Z11" s="8">
        <f>SUM(Z6:Z10)</f>
        <v>5542</v>
      </c>
      <c r="AA11" s="8">
        <f t="shared" ref="AA11:AB11" si="14">SUM(AA6:AA10)</f>
        <v>8692</v>
      </c>
      <c r="AB11" s="8">
        <f t="shared" si="14"/>
        <v>13527</v>
      </c>
      <c r="AC11" s="8">
        <f t="shared" ref="AC11" si="15">SUM(AC6:AC10)</f>
        <v>21016.9</v>
      </c>
      <c r="AD11" s="8">
        <f t="shared" ref="AD11" si="16">SUM(AD6:AD10)</f>
        <v>30526.98</v>
      </c>
      <c r="AE11" s="8">
        <f t="shared" ref="AE11" si="17">SUM(AE6:AE10)</f>
        <v>45810.503499999999</v>
      </c>
      <c r="AF11" s="8">
        <f t="shared" ref="AF11" si="18">SUM(AF6:AF10)</f>
        <v>70679.702825</v>
      </c>
      <c r="AG11" s="8">
        <f t="shared" ref="AG11" si="19">SUM(AG6:AG10)</f>
        <v>94367.601938749998</v>
      </c>
      <c r="AH11" s="8">
        <f t="shared" ref="AH11" si="20">SUM(AH6:AH10)</f>
        <v>128372.1502735625</v>
      </c>
      <c r="AI11" s="8">
        <f t="shared" ref="AI11" si="21">SUM(AI6:AI10)</f>
        <v>178311.78670524689</v>
      </c>
      <c r="AJ11" s="8">
        <f t="shared" ref="AJ11" si="22">SUM(AJ6:AJ10)</f>
        <v>240359.89795286453</v>
      </c>
      <c r="AK11" s="8">
        <f t="shared" ref="AK11" si="23">SUM(AK6:AK10)</f>
        <v>326479.70055044914</v>
      </c>
      <c r="AL11" s="8">
        <f t="shared" ref="AL11" si="24">SUM(AL6:AL10)</f>
        <v>420488.04509571404</v>
      </c>
    </row>
    <row r="12" spans="2:41" x14ac:dyDescent="0.45">
      <c r="B12" s="5" t="s">
        <v>109</v>
      </c>
      <c r="C12" s="3">
        <v>320</v>
      </c>
      <c r="D12" s="3">
        <v>400</v>
      </c>
      <c r="E12" s="3">
        <v>310</v>
      </c>
      <c r="F12" s="3">
        <v>330</v>
      </c>
      <c r="G12" s="3">
        <v>400</v>
      </c>
      <c r="H12" s="3">
        <v>446</v>
      </c>
      <c r="I12" s="3">
        <v>415</v>
      </c>
      <c r="J12" s="3">
        <v>357</v>
      </c>
      <c r="K12" s="3">
        <v>370</v>
      </c>
      <c r="L12" s="3">
        <v>379</v>
      </c>
      <c r="M12" s="3">
        <v>321</v>
      </c>
      <c r="N12" s="3">
        <v>278</v>
      </c>
      <c r="O12" s="3">
        <v>261</v>
      </c>
      <c r="P12" s="3">
        <f>L12</f>
        <v>379</v>
      </c>
      <c r="Q12" s="3">
        <f>M12</f>
        <v>321</v>
      </c>
      <c r="R12" s="3">
        <f>N12</f>
        <v>278</v>
      </c>
      <c r="Z12" s="3">
        <f>SUM(C12:F12)</f>
        <v>1360</v>
      </c>
      <c r="AA12" s="3">
        <f>SUM(G12:J12)</f>
        <v>1618</v>
      </c>
      <c r="AB12" s="3">
        <f>SUM(K12:N12)</f>
        <v>1348</v>
      </c>
      <c r="AC12" s="3">
        <f>SUM(O12:R12)</f>
        <v>1239</v>
      </c>
      <c r="AD12" s="3">
        <f>AC12</f>
        <v>1239</v>
      </c>
      <c r="AE12" s="3">
        <f t="shared" ref="AE12:AL12" si="25">AD12</f>
        <v>1239</v>
      </c>
      <c r="AF12" s="3">
        <f t="shared" si="25"/>
        <v>1239</v>
      </c>
      <c r="AG12" s="3">
        <f t="shared" si="25"/>
        <v>1239</v>
      </c>
      <c r="AH12" s="3">
        <f t="shared" si="25"/>
        <v>1239</v>
      </c>
      <c r="AI12" s="3">
        <f t="shared" si="25"/>
        <v>1239</v>
      </c>
      <c r="AJ12" s="3">
        <f t="shared" si="25"/>
        <v>1239</v>
      </c>
      <c r="AK12" s="3">
        <f t="shared" si="25"/>
        <v>1239</v>
      </c>
      <c r="AL12" s="3">
        <f t="shared" si="25"/>
        <v>1239</v>
      </c>
    </row>
    <row r="13" spans="2:41" x14ac:dyDescent="0.45">
      <c r="B13" s="5" t="s">
        <v>110</v>
      </c>
      <c r="J13" s="3">
        <v>0</v>
      </c>
      <c r="K13" s="3">
        <v>0</v>
      </c>
      <c r="L13" s="3">
        <v>13</v>
      </c>
      <c r="M13" s="3">
        <v>37</v>
      </c>
      <c r="N13" s="3">
        <v>33</v>
      </c>
      <c r="O13" s="3">
        <v>53</v>
      </c>
      <c r="P13" s="3">
        <v>35</v>
      </c>
      <c r="Q13" s="3">
        <v>35</v>
      </c>
      <c r="R13" s="3">
        <v>35</v>
      </c>
      <c r="AB13" s="3">
        <f>SUM(K13:N13)</f>
        <v>83</v>
      </c>
      <c r="AC13" s="3">
        <f>SUM(O13:R13)</f>
        <v>158</v>
      </c>
      <c r="AD13" s="3">
        <f>AC13</f>
        <v>158</v>
      </c>
      <c r="AE13" s="3">
        <f t="shared" ref="AE13:AL13" si="26">AD13</f>
        <v>158</v>
      </c>
      <c r="AF13" s="3">
        <f t="shared" si="26"/>
        <v>158</v>
      </c>
      <c r="AG13" s="3">
        <f t="shared" si="26"/>
        <v>158</v>
      </c>
      <c r="AH13" s="3">
        <f t="shared" si="26"/>
        <v>158</v>
      </c>
      <c r="AI13" s="3">
        <f t="shared" si="26"/>
        <v>158</v>
      </c>
      <c r="AJ13" s="3">
        <f t="shared" si="26"/>
        <v>158</v>
      </c>
      <c r="AK13" s="3">
        <f t="shared" si="26"/>
        <v>158</v>
      </c>
      <c r="AL13" s="3">
        <f t="shared" si="26"/>
        <v>158</v>
      </c>
    </row>
    <row r="14" spans="2:41" x14ac:dyDescent="0.45">
      <c r="B14" s="5"/>
    </row>
    <row r="15" spans="2:41" x14ac:dyDescent="0.45">
      <c r="B15" s="5" t="s">
        <v>112</v>
      </c>
      <c r="C15" s="12"/>
      <c r="D15" s="12"/>
      <c r="E15" s="12"/>
      <c r="F15" s="12"/>
      <c r="G15" s="12">
        <f t="shared" ref="G15:M16" si="27">G6/C6-1</f>
        <v>0.42718446601941751</v>
      </c>
      <c r="H15" s="12">
        <f t="shared" si="27"/>
        <v>0.26479999999999992</v>
      </c>
      <c r="I15" s="12">
        <f t="shared" si="27"/>
        <v>0.3041666666666667</v>
      </c>
      <c r="J15" s="12">
        <f t="shared" si="27"/>
        <v>0.19158878504672905</v>
      </c>
      <c r="K15" s="12">
        <f t="shared" si="27"/>
        <v>0.17278911564625843</v>
      </c>
      <c r="L15" s="12">
        <f t="shared" si="27"/>
        <v>0.22580645161290325</v>
      </c>
      <c r="M15" s="12">
        <f t="shared" si="27"/>
        <v>0.31757188498402567</v>
      </c>
      <c r="N15" s="12">
        <f t="shared" ref="N15:O18" si="28">N6/J6-1</f>
        <v>0.33986928104575154</v>
      </c>
      <c r="O15" s="12">
        <f t="shared" si="28"/>
        <v>0.308584686774942</v>
      </c>
      <c r="P15" s="12">
        <v>0.3</v>
      </c>
      <c r="Q15" s="12">
        <v>0.3</v>
      </c>
      <c r="R15" s="12">
        <v>0.3</v>
      </c>
      <c r="AA15" s="12">
        <f t="shared" ref="AA15:AC16" si="29">AA6/Z6-1</f>
        <v>0.29009235936188071</v>
      </c>
      <c r="AB15" s="12">
        <f t="shared" si="29"/>
        <v>0.26488773185811909</v>
      </c>
      <c r="AC15" s="12">
        <f t="shared" si="29"/>
        <v>0.30190378183689215</v>
      </c>
      <c r="AD15" s="12">
        <v>0.25</v>
      </c>
      <c r="AE15" s="12">
        <v>0.25</v>
      </c>
      <c r="AF15" s="12">
        <v>0.25</v>
      </c>
      <c r="AG15" s="12">
        <v>0.15</v>
      </c>
      <c r="AH15" s="12">
        <v>0.15</v>
      </c>
      <c r="AI15" s="12">
        <v>0.15</v>
      </c>
      <c r="AJ15" s="12">
        <v>0.15</v>
      </c>
      <c r="AK15" s="12">
        <v>0.15</v>
      </c>
      <c r="AL15" s="12">
        <v>0.15</v>
      </c>
    </row>
    <row r="16" spans="2:41" x14ac:dyDescent="0.45">
      <c r="B16" s="5" t="s">
        <v>113</v>
      </c>
      <c r="C16" s="12"/>
      <c r="D16" s="12"/>
      <c r="E16" s="12"/>
      <c r="F16" s="12"/>
      <c r="G16" s="12">
        <f t="shared" si="27"/>
        <v>2.4125000000000001</v>
      </c>
      <c r="H16" s="12">
        <f t="shared" si="27"/>
        <v>2.0363636363636362</v>
      </c>
      <c r="I16" s="12">
        <f t="shared" si="27"/>
        <v>1.6815286624203822</v>
      </c>
      <c r="J16" s="12">
        <f t="shared" si="27"/>
        <v>1.463917525773196</v>
      </c>
      <c r="K16" s="12">
        <f t="shared" si="27"/>
        <v>1.26007326007326</v>
      </c>
      <c r="L16" s="12">
        <f t="shared" si="27"/>
        <v>1.2305389221556888</v>
      </c>
      <c r="M16" s="12">
        <f t="shared" si="27"/>
        <v>1.0403800475059382</v>
      </c>
      <c r="N16" s="12">
        <f t="shared" si="28"/>
        <v>0.98953974895397478</v>
      </c>
      <c r="O16" s="12">
        <f t="shared" si="28"/>
        <v>0.96434359805510539</v>
      </c>
      <c r="P16" s="12">
        <v>0.8</v>
      </c>
      <c r="Q16" s="12">
        <v>0.8</v>
      </c>
      <c r="R16" s="12">
        <v>0.8</v>
      </c>
      <c r="AA16" s="12">
        <f t="shared" si="29"/>
        <v>1.7837338262476896</v>
      </c>
      <c r="AB16" s="12">
        <f t="shared" si="29"/>
        <v>1.1062416998671978</v>
      </c>
      <c r="AC16" s="12">
        <f t="shared" si="29"/>
        <v>0.83196721311475419</v>
      </c>
      <c r="AD16" s="12">
        <v>0.5</v>
      </c>
      <c r="AE16" s="12">
        <v>0.5</v>
      </c>
      <c r="AF16" s="12">
        <v>0.5</v>
      </c>
      <c r="AG16" s="12">
        <v>0.3</v>
      </c>
      <c r="AH16" s="12">
        <v>0.3</v>
      </c>
      <c r="AI16" s="12">
        <v>0.3</v>
      </c>
      <c r="AJ16" s="12">
        <v>0.3</v>
      </c>
      <c r="AK16" s="12">
        <v>0.3</v>
      </c>
      <c r="AL16" s="12">
        <v>0.3</v>
      </c>
    </row>
    <row r="17" spans="2:38" x14ac:dyDescent="0.45">
      <c r="B17" s="5" t="s">
        <v>114</v>
      </c>
      <c r="C17" s="12"/>
      <c r="D17" s="12"/>
      <c r="E17" s="12"/>
      <c r="F17" s="12"/>
      <c r="G17" s="12"/>
      <c r="H17" s="12"/>
      <c r="I17" s="12"/>
      <c r="J17" s="12"/>
      <c r="K17" s="12"/>
      <c r="L17" s="12">
        <f>L8/H8-1</f>
        <v>2.556338028169014</v>
      </c>
      <c r="M17" s="12">
        <f>M8/I8-1</f>
        <v>1.13953488372093</v>
      </c>
      <c r="N17" s="12">
        <f t="shared" si="28"/>
        <v>1.1184573002754821</v>
      </c>
      <c r="O17" s="12">
        <f t="shared" si="28"/>
        <v>1.453125</v>
      </c>
      <c r="P17" s="12">
        <v>0.8</v>
      </c>
      <c r="Q17" s="12">
        <v>0.8</v>
      </c>
      <c r="R17" s="12">
        <v>0.8</v>
      </c>
      <c r="AB17" s="12">
        <f>AB8/AA8-1</f>
        <v>1.8560794044665014</v>
      </c>
      <c r="AC17" s="12">
        <f>AC8/AB8-1</f>
        <v>0.90894874022589045</v>
      </c>
      <c r="AD17" s="12">
        <v>0.7</v>
      </c>
      <c r="AE17" s="12">
        <v>0.7</v>
      </c>
      <c r="AF17" s="12">
        <v>0.7</v>
      </c>
      <c r="AG17" s="12">
        <v>0.35</v>
      </c>
      <c r="AH17" s="12">
        <v>0.35</v>
      </c>
      <c r="AI17" s="12">
        <v>0.35</v>
      </c>
      <c r="AJ17" s="12">
        <v>0.35</v>
      </c>
      <c r="AK17" s="12">
        <v>0.35</v>
      </c>
      <c r="AL17" s="12">
        <v>0.2</v>
      </c>
    </row>
    <row r="18" spans="2:38" x14ac:dyDescent="0.45">
      <c r="B18" s="5" t="s">
        <v>115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>
        <f t="shared" si="28"/>
        <v>1.2682926829268291</v>
      </c>
      <c r="O18" s="12">
        <f t="shared" si="28"/>
        <v>1.2619047619047619</v>
      </c>
      <c r="P18" s="12">
        <v>1.7</v>
      </c>
      <c r="Q18" s="12">
        <v>1.7</v>
      </c>
      <c r="R18" s="12">
        <v>1.7</v>
      </c>
      <c r="AB18" s="12">
        <f>AB9/AA9-1</f>
        <v>5.2682926829268295</v>
      </c>
      <c r="AC18" s="12">
        <f>AC9/AB9-1</f>
        <v>1.6284046692607004</v>
      </c>
      <c r="AD18" s="12">
        <v>1.5</v>
      </c>
      <c r="AE18" s="12">
        <v>1.5</v>
      </c>
      <c r="AF18" s="12">
        <v>1.3</v>
      </c>
      <c r="AG18" s="12">
        <v>0.75</v>
      </c>
      <c r="AH18" s="12">
        <v>0.75</v>
      </c>
      <c r="AI18" s="12">
        <v>0.75</v>
      </c>
      <c r="AJ18" s="12">
        <v>0.5</v>
      </c>
      <c r="AK18" s="12">
        <v>0.5</v>
      </c>
      <c r="AL18" s="12">
        <v>0.4</v>
      </c>
    </row>
    <row r="19" spans="2:38" x14ac:dyDescent="0.45">
      <c r="B19" s="5"/>
    </row>
    <row r="20" spans="2:38" x14ac:dyDescent="0.45">
      <c r="B20" s="5" t="s">
        <v>16</v>
      </c>
      <c r="C20" s="3">
        <v>844.4</v>
      </c>
      <c r="D20" s="3">
        <v>1024.2</v>
      </c>
      <c r="E20" s="3">
        <v>1112</v>
      </c>
      <c r="F20" s="3">
        <v>1211.8</v>
      </c>
      <c r="G20" s="3">
        <v>1413.9</v>
      </c>
      <c r="H20" s="3">
        <v>1661</v>
      </c>
      <c r="I20" s="3">
        <v>1948.2</v>
      </c>
      <c r="J20" s="3">
        <v>2056</v>
      </c>
      <c r="K20" s="3">
        <v>2416</v>
      </c>
      <c r="L20" s="3">
        <v>2848</v>
      </c>
      <c r="M20" s="3">
        <v>3288</v>
      </c>
      <c r="N20" s="3">
        <v>3562</v>
      </c>
      <c r="O20" s="3">
        <f>O11-O12-O13</f>
        <v>4206</v>
      </c>
      <c r="P20" s="3">
        <f t="shared" ref="P20:R20" si="30">P11-P12-P13</f>
        <v>4487.7</v>
      </c>
      <c r="Q20" s="3">
        <f t="shared" si="30"/>
        <v>5227.1000000000004</v>
      </c>
      <c r="R20" s="3">
        <f t="shared" si="30"/>
        <v>5699.1</v>
      </c>
      <c r="W20" s="3">
        <v>1162.874</v>
      </c>
      <c r="X20" s="3">
        <v>2336.3490000000002</v>
      </c>
      <c r="Y20" s="3">
        <v>1993.8</v>
      </c>
      <c r="Z20" s="3">
        <v>4192.3999999999996</v>
      </c>
      <c r="AA20" s="3">
        <v>7079.4</v>
      </c>
      <c r="AB20" s="3">
        <f>SUM(K20:N20)</f>
        <v>12114</v>
      </c>
      <c r="AC20" s="3">
        <f>SUM(O20:R20)</f>
        <v>19619.900000000001</v>
      </c>
      <c r="AD20" s="3">
        <f>AD11-AD12-AD13</f>
        <v>29129.98</v>
      </c>
      <c r="AE20" s="3">
        <f t="shared" ref="AE20:AL20" si="31">AE11-AE12-AE13</f>
        <v>44413.503499999999</v>
      </c>
      <c r="AF20" s="3">
        <f t="shared" si="31"/>
        <v>69282.702825</v>
      </c>
      <c r="AG20" s="3">
        <f t="shared" si="31"/>
        <v>92970.601938749998</v>
      </c>
      <c r="AH20" s="3">
        <f t="shared" si="31"/>
        <v>126975.1502735625</v>
      </c>
      <c r="AI20" s="3">
        <f t="shared" si="31"/>
        <v>176914.78670524689</v>
      </c>
      <c r="AJ20" s="3">
        <f t="shared" si="31"/>
        <v>238962.89795286453</v>
      </c>
      <c r="AK20" s="3">
        <f t="shared" si="31"/>
        <v>325082.70055044914</v>
      </c>
      <c r="AL20" s="3">
        <f t="shared" si="31"/>
        <v>419091.04509571404</v>
      </c>
    </row>
    <row r="21" spans="2:38" x14ac:dyDescent="0.45">
      <c r="B21" s="5" t="s">
        <v>17</v>
      </c>
      <c r="C21" s="3">
        <v>72.2</v>
      </c>
      <c r="D21" s="3">
        <v>136.80000000000001</v>
      </c>
      <c r="E21" s="3">
        <v>147.69999999999999</v>
      </c>
      <c r="F21" s="3">
        <v>138.21</v>
      </c>
      <c r="G21" s="3">
        <v>168.1</v>
      </c>
      <c r="H21" s="3">
        <v>170</v>
      </c>
      <c r="I21" s="3">
        <v>173.4</v>
      </c>
      <c r="J21" s="3">
        <v>171</v>
      </c>
      <c r="K21" s="3">
        <v>181</v>
      </c>
      <c r="L21" s="3">
        <v>212</v>
      </c>
      <c r="M21" s="3">
        <v>219</v>
      </c>
      <c r="N21" s="3">
        <v>235</v>
      </c>
      <c r="O21" s="3">
        <v>236</v>
      </c>
      <c r="W21" s="3">
        <v>92.207999999999998</v>
      </c>
      <c r="X21" s="3">
        <v>149.411</v>
      </c>
      <c r="Y21" s="3">
        <v>124.6</v>
      </c>
      <c r="Z21" s="3">
        <v>494.2</v>
      </c>
      <c r="AA21" s="3">
        <v>681.5</v>
      </c>
      <c r="AB21" s="3">
        <f>SUM(K21:N21)</f>
        <v>847</v>
      </c>
      <c r="AC21" s="3">
        <f>SUM(O21:R21)</f>
        <v>236</v>
      </c>
      <c r="AD21" s="3">
        <f t="shared" ref="AD21:AL21" si="32">AC52*$AP$55</f>
        <v>5.2233914159999939</v>
      </c>
      <c r="AE21" s="3">
        <f t="shared" si="32"/>
        <v>51.440395080298785</v>
      </c>
      <c r="AF21" s="3">
        <f t="shared" si="32"/>
        <v>138.89702196016347</v>
      </c>
      <c r="AG21" s="3">
        <f t="shared" si="32"/>
        <v>299.28217140110741</v>
      </c>
      <c r="AH21" s="3">
        <f t="shared" si="32"/>
        <v>519.03773221693223</v>
      </c>
      <c r="AI21" s="3">
        <f t="shared" si="32"/>
        <v>841.52150244387508</v>
      </c>
      <c r="AJ21" s="3">
        <f t="shared" si="32"/>
        <v>1303.6364965603477</v>
      </c>
      <c r="AK21" s="3">
        <f t="shared" si="32"/>
        <v>1946.8620467052524</v>
      </c>
      <c r="AL21" s="3">
        <f t="shared" si="32"/>
        <v>2822.6150154923675</v>
      </c>
    </row>
    <row r="22" spans="2:38" x14ac:dyDescent="0.45">
      <c r="B22" s="6" t="s">
        <v>18</v>
      </c>
      <c r="C22" s="8">
        <f t="shared" ref="C22:L22" si="33">C20+C21</f>
        <v>916.6</v>
      </c>
      <c r="D22" s="8">
        <f t="shared" si="33"/>
        <v>1161</v>
      </c>
      <c r="E22" s="8">
        <f t="shared" ref="E22" si="34">E20+E21</f>
        <v>1259.7</v>
      </c>
      <c r="F22" s="8">
        <f t="shared" ref="F22" si="35">F20+F21</f>
        <v>1350.01</v>
      </c>
      <c r="G22" s="8">
        <f t="shared" ref="G22" si="36">G20+G21</f>
        <v>1582</v>
      </c>
      <c r="H22" s="8">
        <f t="shared" ref="H22" si="37">H20+H21</f>
        <v>1831</v>
      </c>
      <c r="I22" s="8">
        <f t="shared" ref="I22" si="38">I20+I21</f>
        <v>2121.6</v>
      </c>
      <c r="J22" s="8">
        <f t="shared" si="33"/>
        <v>2227</v>
      </c>
      <c r="K22" s="8">
        <f t="shared" si="33"/>
        <v>2597</v>
      </c>
      <c r="L22" s="8">
        <f t="shared" si="33"/>
        <v>3060</v>
      </c>
      <c r="M22" s="8">
        <f>M20+M21</f>
        <v>3507</v>
      </c>
      <c r="N22" s="8">
        <f>N20+N21</f>
        <v>3797</v>
      </c>
      <c r="O22" s="8">
        <f>O20+O21</f>
        <v>4442</v>
      </c>
      <c r="P22" s="8">
        <f t="shared" ref="P22:R22" si="39">P20+P21</f>
        <v>4487.7</v>
      </c>
      <c r="Q22" s="8">
        <f t="shared" si="39"/>
        <v>5227.1000000000004</v>
      </c>
      <c r="R22" s="8">
        <f t="shared" si="39"/>
        <v>5699.1</v>
      </c>
      <c r="W22" s="8">
        <f t="shared" ref="W22:Z22" si="40">W20+W21</f>
        <v>1255.0820000000001</v>
      </c>
      <c r="X22" s="8">
        <f t="shared" si="40"/>
        <v>2485.7600000000002</v>
      </c>
      <c r="Y22" s="8">
        <f t="shared" si="40"/>
        <v>2118.4</v>
      </c>
      <c r="Z22" s="8">
        <f t="shared" si="40"/>
        <v>4686.5999999999995</v>
      </c>
      <c r="AA22" s="8">
        <f>AA20+AA21</f>
        <v>7760.9</v>
      </c>
      <c r="AB22" s="8">
        <f>AB20+AB21</f>
        <v>12961</v>
      </c>
      <c r="AC22" s="8">
        <f t="shared" ref="AC22:AL22" si="41">AC20+AC21</f>
        <v>19855.900000000001</v>
      </c>
      <c r="AD22" s="8">
        <f t="shared" si="41"/>
        <v>29135.203391415998</v>
      </c>
      <c r="AE22" s="8">
        <f t="shared" si="41"/>
        <v>44464.943895080294</v>
      </c>
      <c r="AF22" s="8">
        <f t="shared" si="41"/>
        <v>69421.599846960162</v>
      </c>
      <c r="AG22" s="8">
        <f t="shared" si="41"/>
        <v>93269.884110151106</v>
      </c>
      <c r="AH22" s="8">
        <f t="shared" si="41"/>
        <v>127494.18800577943</v>
      </c>
      <c r="AI22" s="8">
        <f t="shared" si="41"/>
        <v>177756.30820769077</v>
      </c>
      <c r="AJ22" s="8">
        <f t="shared" si="41"/>
        <v>240266.53444942489</v>
      </c>
      <c r="AK22" s="8">
        <f t="shared" si="41"/>
        <v>327029.56259715441</v>
      </c>
      <c r="AL22" s="8">
        <f t="shared" si="41"/>
        <v>421913.66011120641</v>
      </c>
    </row>
    <row r="23" spans="2:38" x14ac:dyDescent="0.45">
      <c r="B23" s="5" t="s">
        <v>33</v>
      </c>
      <c r="C23" s="3">
        <v>0</v>
      </c>
      <c r="D23" s="3">
        <v>0</v>
      </c>
      <c r="E23" s="3">
        <v>549.70000000000005</v>
      </c>
      <c r="F23" s="3">
        <v>545.1</v>
      </c>
      <c r="G23" s="3">
        <v>572.4</v>
      </c>
      <c r="H23" s="3">
        <v>590</v>
      </c>
      <c r="I23" s="3">
        <v>654.9</v>
      </c>
      <c r="J23" s="3">
        <v>719</v>
      </c>
      <c r="K23" s="3">
        <v>810</v>
      </c>
      <c r="L23" s="3">
        <v>919</v>
      </c>
      <c r="M23" s="3">
        <v>1068</v>
      </c>
      <c r="N23" s="3">
        <v>1118</v>
      </c>
      <c r="O23" s="3">
        <v>1328</v>
      </c>
      <c r="W23" s="3">
        <v>0</v>
      </c>
      <c r="X23" s="3">
        <v>0</v>
      </c>
      <c r="Y23" s="3">
        <v>528.29999999999995</v>
      </c>
      <c r="Z23" s="3">
        <v>1814.1</v>
      </c>
      <c r="AA23" s="3">
        <v>2536.9</v>
      </c>
      <c r="AB23" s="3">
        <f>SUM(K23:N23)</f>
        <v>3915</v>
      </c>
      <c r="AC23" s="3">
        <f>AC22-AC24</f>
        <v>5952.1700000000019</v>
      </c>
      <c r="AD23" s="3">
        <f t="shared" ref="AD23:AL23" si="42">AD22-AD24</f>
        <v>8740.5610174247995</v>
      </c>
      <c r="AE23" s="3">
        <f t="shared" si="42"/>
        <v>13784.132607474894</v>
      </c>
      <c r="AF23" s="3">
        <f t="shared" si="42"/>
        <v>22909.127949496848</v>
      </c>
      <c r="AG23" s="3">
        <f t="shared" si="42"/>
        <v>32644.459438552884</v>
      </c>
      <c r="AH23" s="3">
        <f t="shared" si="42"/>
        <v>44622.965802022794</v>
      </c>
      <c r="AI23" s="3">
        <f t="shared" si="42"/>
        <v>65769.834036845583</v>
      </c>
      <c r="AJ23" s="3">
        <f t="shared" si="42"/>
        <v>91301.28309078145</v>
      </c>
      <c r="AK23" s="3">
        <f t="shared" si="42"/>
        <v>130811.82503886177</v>
      </c>
      <c r="AL23" s="3">
        <f t="shared" si="42"/>
        <v>168765.46404448256</v>
      </c>
    </row>
    <row r="24" spans="2:38" x14ac:dyDescent="0.45">
      <c r="B24" s="6" t="s">
        <v>34</v>
      </c>
      <c r="C24" s="8">
        <f t="shared" ref="C24:L24" si="43">C22-C23</f>
        <v>916.6</v>
      </c>
      <c r="D24" s="8">
        <f t="shared" si="43"/>
        <v>1161</v>
      </c>
      <c r="E24" s="8">
        <f t="shared" ref="E24" si="44">E22-E23</f>
        <v>710</v>
      </c>
      <c r="F24" s="8">
        <f t="shared" ref="F24" si="45">F22-F23</f>
        <v>804.91</v>
      </c>
      <c r="G24" s="8">
        <f t="shared" ref="G24" si="46">G22-G23</f>
        <v>1009.6</v>
      </c>
      <c r="H24" s="8">
        <f t="shared" ref="H24" si="47">H22-H23</f>
        <v>1241</v>
      </c>
      <c r="I24" s="8">
        <f t="shared" ref="I24" si="48">I22-I23</f>
        <v>1466.6999999999998</v>
      </c>
      <c r="J24" s="8">
        <f t="shared" si="43"/>
        <v>1508</v>
      </c>
      <c r="K24" s="8">
        <f t="shared" si="43"/>
        <v>1787</v>
      </c>
      <c r="L24" s="8">
        <f t="shared" si="43"/>
        <v>2141</v>
      </c>
      <c r="M24" s="8">
        <f>M22-M23</f>
        <v>2439</v>
      </c>
      <c r="N24" s="8">
        <f>N22-N23</f>
        <v>2679</v>
      </c>
      <c r="O24" s="8">
        <f>O22-O23</f>
        <v>3114</v>
      </c>
      <c r="P24" s="8">
        <f t="shared" ref="P24:R24" si="49">P22*P43</f>
        <v>3141.39</v>
      </c>
      <c r="Q24" s="8">
        <f t="shared" si="49"/>
        <v>3658.97</v>
      </c>
      <c r="R24" s="8">
        <f t="shared" si="49"/>
        <v>3989.37</v>
      </c>
      <c r="W24" s="8">
        <f>W22-W23</f>
        <v>1255.0820000000001</v>
      </c>
      <c r="X24" s="8">
        <f t="shared" ref="X24:Z24" si="50">X22-X23</f>
        <v>2485.7600000000002</v>
      </c>
      <c r="Y24" s="8">
        <f t="shared" si="50"/>
        <v>1590.1000000000001</v>
      </c>
      <c r="Z24" s="8">
        <f t="shared" si="50"/>
        <v>2872.4999999999995</v>
      </c>
      <c r="AA24" s="8">
        <f>AA22-AA23</f>
        <v>5224</v>
      </c>
      <c r="AB24" s="8">
        <f>AB22-AB23</f>
        <v>9046</v>
      </c>
      <c r="AC24" s="8">
        <f>SUM(O24:R24)</f>
        <v>13903.73</v>
      </c>
      <c r="AD24" s="8">
        <f>AD22*AD43</f>
        <v>20394.642373991199</v>
      </c>
      <c r="AE24" s="8">
        <f t="shared" ref="AE24:AL24" si="51">AE22*AE43</f>
        <v>30680.8112876054</v>
      </c>
      <c r="AF24" s="8">
        <f t="shared" si="51"/>
        <v>46512.471897463314</v>
      </c>
      <c r="AG24" s="8">
        <f t="shared" si="51"/>
        <v>60625.424671598223</v>
      </c>
      <c r="AH24" s="8">
        <f t="shared" si="51"/>
        <v>82871.222203756639</v>
      </c>
      <c r="AI24" s="8">
        <f t="shared" si="51"/>
        <v>111986.47417084519</v>
      </c>
      <c r="AJ24" s="8">
        <f t="shared" si="51"/>
        <v>148965.25135864344</v>
      </c>
      <c r="AK24" s="8">
        <f t="shared" si="51"/>
        <v>196217.73755829263</v>
      </c>
      <c r="AL24" s="8">
        <f t="shared" si="51"/>
        <v>253148.19606672385</v>
      </c>
    </row>
    <row r="25" spans="2:38" x14ac:dyDescent="0.45">
      <c r="B25" s="5" t="s">
        <v>19</v>
      </c>
      <c r="C25" s="3">
        <v>74.7</v>
      </c>
      <c r="D25" s="3">
        <v>117.2</v>
      </c>
      <c r="E25" s="3">
        <v>166.6</v>
      </c>
      <c r="F25" s="3">
        <v>193.9</v>
      </c>
      <c r="G25" s="3">
        <v>261</v>
      </c>
      <c r="H25" s="3">
        <v>347</v>
      </c>
      <c r="I25" s="3">
        <v>392.7</v>
      </c>
      <c r="J25" s="3">
        <v>438</v>
      </c>
      <c r="K25" s="3">
        <v>557</v>
      </c>
      <c r="L25" s="3">
        <v>685</v>
      </c>
      <c r="M25" s="3">
        <v>783</v>
      </c>
      <c r="N25" s="3">
        <v>862</v>
      </c>
      <c r="O25" s="3">
        <v>1116</v>
      </c>
      <c r="P25" s="3">
        <f t="shared" ref="P25:R25" si="52">P22*P45</f>
        <v>1032.171</v>
      </c>
      <c r="Q25" s="3">
        <f t="shared" si="52"/>
        <v>1202.2330000000002</v>
      </c>
      <c r="R25" s="3">
        <f t="shared" si="52"/>
        <v>1310.7930000000001</v>
      </c>
      <c r="W25" s="3">
        <v>0</v>
      </c>
      <c r="X25" s="3">
        <v>0</v>
      </c>
      <c r="Y25" s="3">
        <v>202.9</v>
      </c>
      <c r="Z25" s="3">
        <v>552.4</v>
      </c>
      <c r="AA25" s="3">
        <v>1438.2</v>
      </c>
      <c r="AB25" s="3">
        <f>SUM(K25:N25)</f>
        <v>2887</v>
      </c>
      <c r="AC25" s="3">
        <f>SUM(O25:R25)</f>
        <v>4661.1970000000001</v>
      </c>
      <c r="AD25" s="3">
        <f>AD24*AD45</f>
        <v>4690.7677460179757</v>
      </c>
      <c r="AE25" s="3">
        <f t="shared" ref="AE25:AL25" si="53">AE24*AE45</f>
        <v>7056.5865961492427</v>
      </c>
      <c r="AF25" s="3">
        <f t="shared" si="53"/>
        <v>10697.868536416563</v>
      </c>
      <c r="AG25" s="3">
        <f t="shared" si="53"/>
        <v>13943.847674467592</v>
      </c>
      <c r="AH25" s="3">
        <f t="shared" si="53"/>
        <v>19060.381106864028</v>
      </c>
      <c r="AI25" s="3">
        <f t="shared" si="53"/>
        <v>25756.889059294394</v>
      </c>
      <c r="AJ25" s="3">
        <f t="shared" si="53"/>
        <v>34262.007812487995</v>
      </c>
      <c r="AK25" s="3">
        <f t="shared" si="53"/>
        <v>45130.079638407311</v>
      </c>
      <c r="AL25" s="3">
        <f t="shared" si="53"/>
        <v>58224.085095346491</v>
      </c>
    </row>
    <row r="26" spans="2:38" x14ac:dyDescent="0.45">
      <c r="B26" s="5" t="s">
        <v>20</v>
      </c>
      <c r="C26" s="3">
        <v>-0.3</v>
      </c>
      <c r="D26" s="3">
        <v>-6.8</v>
      </c>
      <c r="E26" s="3">
        <v>-13</v>
      </c>
      <c r="F26" s="3">
        <v>-7.7</v>
      </c>
      <c r="G26" s="3">
        <v>-7.2</v>
      </c>
      <c r="H26" s="3">
        <v>-35</v>
      </c>
      <c r="I26" s="3">
        <v>-2.7</v>
      </c>
      <c r="J26" s="3">
        <v>2</v>
      </c>
      <c r="K26" s="3">
        <v>5</v>
      </c>
      <c r="L26" s="3">
        <v>-11</v>
      </c>
      <c r="M26" s="3">
        <v>-1</v>
      </c>
      <c r="N26" s="3">
        <v>2</v>
      </c>
      <c r="O26" s="3">
        <v>-17</v>
      </c>
      <c r="P26" s="3">
        <v>0</v>
      </c>
      <c r="Q26" s="3">
        <v>0</v>
      </c>
      <c r="R26" s="3">
        <v>0</v>
      </c>
      <c r="W26" s="3">
        <v>0</v>
      </c>
      <c r="X26" s="3">
        <v>0</v>
      </c>
      <c r="Y26" s="3">
        <v>-11</v>
      </c>
      <c r="Z26" s="3">
        <v>-27.8</v>
      </c>
      <c r="AA26" s="3">
        <v>-43</v>
      </c>
      <c r="AB26" s="3">
        <f>SUM(K26:N26)</f>
        <v>-5</v>
      </c>
      <c r="AC26" s="3">
        <f t="shared" ref="AC26:AC31" si="54">SUM(O26:R26)</f>
        <v>-17</v>
      </c>
      <c r="AD26" s="3">
        <f>AC26</f>
        <v>-17</v>
      </c>
      <c r="AE26" s="3">
        <f t="shared" ref="AE26:AL26" si="55">AD26</f>
        <v>-17</v>
      </c>
      <c r="AF26" s="3">
        <f t="shared" si="55"/>
        <v>-17</v>
      </c>
      <c r="AG26" s="3">
        <f t="shared" si="55"/>
        <v>-17</v>
      </c>
      <c r="AH26" s="3">
        <f t="shared" si="55"/>
        <v>-17</v>
      </c>
      <c r="AI26" s="3">
        <f t="shared" si="55"/>
        <v>-17</v>
      </c>
      <c r="AJ26" s="3">
        <f t="shared" si="55"/>
        <v>-17</v>
      </c>
      <c r="AK26" s="3">
        <f t="shared" si="55"/>
        <v>-17</v>
      </c>
      <c r="AL26" s="3">
        <f t="shared" si="55"/>
        <v>-17</v>
      </c>
    </row>
    <row r="27" spans="2:38" x14ac:dyDescent="0.45">
      <c r="B27" s="5" t="s">
        <v>21</v>
      </c>
      <c r="C27" s="3">
        <v>390.7</v>
      </c>
      <c r="D27" s="3">
        <v>424.1</v>
      </c>
      <c r="E27" s="3">
        <v>411.5</v>
      </c>
      <c r="F27" s="3">
        <v>406.8</v>
      </c>
      <c r="G27" s="3">
        <v>348.9</v>
      </c>
      <c r="H27" s="3">
        <v>381</v>
      </c>
      <c r="I27" s="3">
        <v>395</v>
      </c>
      <c r="J27" s="3">
        <v>340</v>
      </c>
      <c r="K27" s="3">
        <v>338</v>
      </c>
      <c r="L27" s="3">
        <v>417</v>
      </c>
      <c r="M27" s="3">
        <v>423</v>
      </c>
      <c r="N27" s="3">
        <v>481</v>
      </c>
      <c r="O27" s="3">
        <v>529</v>
      </c>
      <c r="P27" s="3">
        <f>O27*(1+P46)</f>
        <v>529</v>
      </c>
      <c r="Q27" s="3">
        <f t="shared" ref="Q27:R27" si="56">P27*(1+Q46)</f>
        <v>529</v>
      </c>
      <c r="R27" s="3">
        <f t="shared" si="56"/>
        <v>529</v>
      </c>
      <c r="W27" s="3">
        <v>467.25200000000001</v>
      </c>
      <c r="X27" s="3">
        <v>621.01</v>
      </c>
      <c r="Y27" s="3">
        <v>740.8</v>
      </c>
      <c r="Z27" s="3">
        <v>1633.1</v>
      </c>
      <c r="AA27" s="3">
        <v>1465</v>
      </c>
      <c r="AB27" s="3">
        <f>SUM(K27:N27)</f>
        <v>1659</v>
      </c>
      <c r="AC27" s="3">
        <f t="shared" si="54"/>
        <v>2116</v>
      </c>
      <c r="AD27" s="3">
        <f>AC27*(1+AD46)</f>
        <v>2327.6000000000004</v>
      </c>
      <c r="AE27" s="3">
        <f t="shared" ref="AE27:AL27" si="57">AD27*(1+AE46)</f>
        <v>2560.3600000000006</v>
      </c>
      <c r="AF27" s="3">
        <f t="shared" si="57"/>
        <v>2816.3960000000006</v>
      </c>
      <c r="AG27" s="3">
        <f t="shared" si="57"/>
        <v>3098.0356000000011</v>
      </c>
      <c r="AH27" s="3">
        <f t="shared" si="57"/>
        <v>3407.8391600000014</v>
      </c>
      <c r="AI27" s="3">
        <f t="shared" si="57"/>
        <v>3714.5446844000016</v>
      </c>
      <c r="AJ27" s="3">
        <f t="shared" si="57"/>
        <v>4048.8537059960022</v>
      </c>
      <c r="AK27" s="3">
        <f t="shared" si="57"/>
        <v>4372.7620024756825</v>
      </c>
      <c r="AL27" s="3">
        <f t="shared" si="57"/>
        <v>4722.5829626737377</v>
      </c>
    </row>
    <row r="28" spans="2:38" x14ac:dyDescent="0.45">
      <c r="B28" s="5" t="s">
        <v>22</v>
      </c>
      <c r="C28" s="3">
        <v>3.3</v>
      </c>
      <c r="D28" s="3">
        <v>3.1</v>
      </c>
      <c r="E28" s="3">
        <v>3.1</v>
      </c>
      <c r="F28" s="3">
        <v>2.5</v>
      </c>
      <c r="G28" s="3">
        <v>4.9000000000000004</v>
      </c>
      <c r="H28" s="3">
        <v>12</v>
      </c>
      <c r="I28" s="3">
        <v>16.100000000000001</v>
      </c>
      <c r="J28" s="3">
        <v>15</v>
      </c>
      <c r="K28" s="3">
        <v>18</v>
      </c>
      <c r="L28" s="3">
        <v>16</v>
      </c>
      <c r="M28" s="3">
        <v>18</v>
      </c>
      <c r="N28" s="3">
        <v>20</v>
      </c>
      <c r="O28" s="3">
        <v>25</v>
      </c>
      <c r="P28" s="3">
        <f>O28*(1+P47)</f>
        <v>27.500000000000004</v>
      </c>
      <c r="Q28" s="3">
        <f>P28*(1+Q47)</f>
        <v>30.250000000000007</v>
      </c>
      <c r="R28" s="3">
        <f>Q28*(1+R47)</f>
        <v>33.275000000000013</v>
      </c>
      <c r="W28" s="3">
        <v>58.505000000000003</v>
      </c>
      <c r="X28" s="3">
        <v>11.125999999999999</v>
      </c>
      <c r="Y28" s="3">
        <v>10.1</v>
      </c>
      <c r="Z28" s="3">
        <v>12</v>
      </c>
      <c r="AA28" s="3">
        <v>48.7</v>
      </c>
      <c r="AB28" s="3">
        <f>SUM(J28:N28)</f>
        <v>87</v>
      </c>
      <c r="AC28" s="3">
        <f t="shared" si="54"/>
        <v>116.02500000000001</v>
      </c>
      <c r="AD28" s="3">
        <f>AC28*(1+AD47)</f>
        <v>133.42875000000001</v>
      </c>
      <c r="AE28" s="3">
        <f t="shared" ref="AE28:AL28" si="58">AD28*(1+AE47)</f>
        <v>149.44020000000003</v>
      </c>
      <c r="AF28" s="3">
        <f t="shared" si="58"/>
        <v>164.38422000000006</v>
      </c>
      <c r="AG28" s="3">
        <f t="shared" si="58"/>
        <v>180.82264200000009</v>
      </c>
      <c r="AH28" s="3">
        <f t="shared" si="58"/>
        <v>193.48022694000011</v>
      </c>
      <c r="AI28" s="3">
        <f t="shared" si="58"/>
        <v>203.15423828700011</v>
      </c>
      <c r="AJ28" s="3">
        <f t="shared" si="58"/>
        <v>213.31195020135013</v>
      </c>
      <c r="AK28" s="3">
        <f t="shared" si="58"/>
        <v>223.97754771141766</v>
      </c>
      <c r="AL28" s="3">
        <f t="shared" si="58"/>
        <v>235.17642509698854</v>
      </c>
    </row>
    <row r="29" spans="2:38" x14ac:dyDescent="0.45">
      <c r="B29" s="5" t="s">
        <v>23</v>
      </c>
      <c r="C29" s="3">
        <v>35.5</v>
      </c>
      <c r="D29" s="3">
        <v>38.4</v>
      </c>
      <c r="E29" s="3">
        <v>38.700000000000003</v>
      </c>
      <c r="F29" s="3">
        <v>37.700000000000003</v>
      </c>
      <c r="G29" s="3">
        <v>41.6</v>
      </c>
      <c r="H29" s="3">
        <v>107</v>
      </c>
      <c r="I29" s="3">
        <v>154.80000000000001</v>
      </c>
      <c r="J29" s="3">
        <v>134</v>
      </c>
      <c r="K29" s="3">
        <v>130</v>
      </c>
      <c r="L29" s="3">
        <v>128</v>
      </c>
      <c r="M29" s="3">
        <v>128</v>
      </c>
      <c r="N29" s="3">
        <v>140</v>
      </c>
      <c r="O29" s="3">
        <v>149</v>
      </c>
      <c r="P29" s="3">
        <f>P24*P48</f>
        <v>157.06950000000001</v>
      </c>
      <c r="Q29" s="3">
        <f>Q24*Q48</f>
        <v>182.9485</v>
      </c>
      <c r="R29" s="3">
        <f>R24*R48</f>
        <v>199.46850000000001</v>
      </c>
      <c r="W29" s="3">
        <v>23.192</v>
      </c>
      <c r="X29" s="3">
        <v>73.597999999999999</v>
      </c>
      <c r="Y29" s="3">
        <v>137.69999999999999</v>
      </c>
      <c r="Z29" s="3">
        <v>150.30000000000001</v>
      </c>
      <c r="AA29" s="3">
        <v>436.9</v>
      </c>
      <c r="AB29" s="3">
        <f>SUM(K29:N29)</f>
        <v>526</v>
      </c>
      <c r="AC29" s="3">
        <f t="shared" si="54"/>
        <v>688.48649999999998</v>
      </c>
      <c r="AD29" s="3">
        <f>AD22*AD48</f>
        <v>1165.4081356566401</v>
      </c>
      <c r="AE29" s="3">
        <f t="shared" ref="AE29:AL29" si="59">AE22*AE48</f>
        <v>1778.5977558032118</v>
      </c>
      <c r="AF29" s="3">
        <f t="shared" si="59"/>
        <v>2776.8639938784067</v>
      </c>
      <c r="AG29" s="3">
        <f t="shared" si="59"/>
        <v>3730.7953644060444</v>
      </c>
      <c r="AH29" s="3">
        <f t="shared" si="59"/>
        <v>5099.7675202311775</v>
      </c>
      <c r="AI29" s="3">
        <f t="shared" si="59"/>
        <v>7110.2523283076307</v>
      </c>
      <c r="AJ29" s="3">
        <f t="shared" si="59"/>
        <v>9610.6613779769959</v>
      </c>
      <c r="AK29" s="3">
        <f t="shared" si="59"/>
        <v>13081.182503886177</v>
      </c>
      <c r="AL29" s="3">
        <f t="shared" si="59"/>
        <v>16876.546404448258</v>
      </c>
    </row>
    <row r="30" spans="2:38" x14ac:dyDescent="0.45">
      <c r="B30" s="5" t="s">
        <v>24</v>
      </c>
      <c r="C30" s="3">
        <v>0</v>
      </c>
      <c r="D30" s="3">
        <v>0</v>
      </c>
      <c r="E30" s="3">
        <v>258.2</v>
      </c>
      <c r="F30" s="3">
        <v>269.10000000000002</v>
      </c>
      <c r="G30" s="3">
        <v>277.60000000000002</v>
      </c>
      <c r="H30" s="3">
        <v>300</v>
      </c>
      <c r="I30" s="3">
        <v>347.9</v>
      </c>
      <c r="J30" s="3">
        <v>302</v>
      </c>
      <c r="K30" s="3">
        <v>314</v>
      </c>
      <c r="L30" s="3">
        <v>355</v>
      </c>
      <c r="M30" s="3">
        <v>374</v>
      </c>
      <c r="N30" s="3">
        <v>389</v>
      </c>
      <c r="O30" s="3">
        <v>396</v>
      </c>
      <c r="P30" s="3">
        <f>O30*(1+P49)</f>
        <v>415.8</v>
      </c>
      <c r="Q30" s="3">
        <f t="shared" ref="Q30:R31" si="60">P30*(1+Q49)</f>
        <v>436.59000000000003</v>
      </c>
      <c r="R30" s="3">
        <f t="shared" si="60"/>
        <v>458.41950000000003</v>
      </c>
      <c r="W30" s="3">
        <v>0</v>
      </c>
      <c r="X30" s="3">
        <v>1326.6869999999999</v>
      </c>
      <c r="Y30" s="3">
        <v>527.1</v>
      </c>
      <c r="Z30" s="3">
        <v>1216.8</v>
      </c>
      <c r="AA30" s="3">
        <v>1227.4000000000001</v>
      </c>
      <c r="AB30" s="3">
        <f>SUM(K30:N30)</f>
        <v>1432</v>
      </c>
      <c r="AC30" s="3">
        <f t="shared" si="54"/>
        <v>1706.8094999999998</v>
      </c>
      <c r="AD30" s="3">
        <f>AC30*(1+AD49)</f>
        <v>2218.8523499999997</v>
      </c>
      <c r="AE30" s="3">
        <f t="shared" ref="AE30:AL30" si="61">AD30*(1+AE49)</f>
        <v>2884.5080549999998</v>
      </c>
      <c r="AF30" s="3">
        <f t="shared" si="61"/>
        <v>3605.6350687499998</v>
      </c>
      <c r="AG30" s="3">
        <f t="shared" si="61"/>
        <v>4507.0438359375003</v>
      </c>
      <c r="AH30" s="3">
        <f t="shared" si="61"/>
        <v>5543.6639182031249</v>
      </c>
      <c r="AI30" s="3">
        <f t="shared" si="61"/>
        <v>6763.2699802078123</v>
      </c>
      <c r="AJ30" s="3">
        <f t="shared" si="61"/>
        <v>8115.9239762493744</v>
      </c>
      <c r="AK30" s="3">
        <f t="shared" si="61"/>
        <v>9739.1087714992482</v>
      </c>
      <c r="AL30" s="3">
        <f t="shared" si="61"/>
        <v>11686.930525799098</v>
      </c>
    </row>
    <row r="31" spans="2:38" x14ac:dyDescent="0.45">
      <c r="B31" s="5" t="s">
        <v>17</v>
      </c>
      <c r="C31" s="3">
        <v>755.8</v>
      </c>
      <c r="D31" s="3">
        <v>1025.5</v>
      </c>
      <c r="E31" s="3">
        <v>227.8</v>
      </c>
      <c r="F31" s="3">
        <v>254.3</v>
      </c>
      <c r="G31" s="3">
        <v>268.5</v>
      </c>
      <c r="H31" s="3">
        <v>390</v>
      </c>
      <c r="I31" s="3">
        <v>526.6</v>
      </c>
      <c r="J31" s="3">
        <v>481</v>
      </c>
      <c r="K31" s="3">
        <v>440</v>
      </c>
      <c r="L31" s="3">
        <v>530</v>
      </c>
      <c r="M31" s="3">
        <v>590</v>
      </c>
      <c r="N31" s="3">
        <v>624</v>
      </c>
      <c r="O31" s="3">
        <v>677</v>
      </c>
      <c r="P31" s="3">
        <f>O31*(1+P50)</f>
        <v>744.7</v>
      </c>
      <c r="Q31" s="3">
        <f t="shared" si="60"/>
        <v>819.17000000000007</v>
      </c>
      <c r="R31" s="3">
        <f t="shared" si="60"/>
        <v>901.0870000000001</v>
      </c>
      <c r="W31" s="3">
        <v>2834.616</v>
      </c>
      <c r="X31" s="3">
        <f>3922.025-X30-X23</f>
        <v>2595.3380000000002</v>
      </c>
      <c r="Y31" s="3">
        <f>1528.3-Y30-Y23</f>
        <v>472.9</v>
      </c>
      <c r="Z31" s="3">
        <f>3885.5-Z30-Z23</f>
        <v>854.59999999999991</v>
      </c>
      <c r="AA31" s="3">
        <f>5429.5-AA30-AA23</f>
        <v>1665.2000000000003</v>
      </c>
      <c r="AB31" s="3">
        <f>SUM(K31:N31)</f>
        <v>2184</v>
      </c>
      <c r="AC31" s="3">
        <f t="shared" si="54"/>
        <v>3141.9569999999999</v>
      </c>
      <c r="AD31" s="3">
        <f>AC31*(1+AD50)</f>
        <v>4084.5441000000001</v>
      </c>
      <c r="AE31" s="3">
        <f t="shared" ref="AE31:AL31" si="62">AD31*(1+AE50)</f>
        <v>5309.90733</v>
      </c>
      <c r="AF31" s="3">
        <f t="shared" si="62"/>
        <v>6371.8887960000002</v>
      </c>
      <c r="AG31" s="3">
        <f t="shared" si="62"/>
        <v>7646.2665551999999</v>
      </c>
      <c r="AH31" s="3">
        <f t="shared" si="62"/>
        <v>9175.5198662399998</v>
      </c>
      <c r="AI31" s="3">
        <f t="shared" si="62"/>
        <v>10551.847846175999</v>
      </c>
      <c r="AJ31" s="3">
        <f t="shared" si="62"/>
        <v>12134.625023102397</v>
      </c>
      <c r="AK31" s="3">
        <f t="shared" si="62"/>
        <v>13954.818776567756</v>
      </c>
      <c r="AL31" s="3">
        <f t="shared" si="62"/>
        <v>16048.041593052918</v>
      </c>
    </row>
    <row r="32" spans="2:38" x14ac:dyDescent="0.45">
      <c r="B32" s="5" t="s">
        <v>25</v>
      </c>
      <c r="C32" s="8">
        <f>SUM(C25:C31)</f>
        <v>1259.7</v>
      </c>
      <c r="D32" s="8">
        <f t="shared" ref="D32:L32" si="63">SUM(D25:D31)</f>
        <v>1601.5</v>
      </c>
      <c r="E32" s="8">
        <f t="shared" ref="E32" si="64">SUM(E25:E31)</f>
        <v>1092.9000000000001</v>
      </c>
      <c r="F32" s="8">
        <f t="shared" ref="F32" si="65">SUM(F25:F31)</f>
        <v>1156.6000000000001</v>
      </c>
      <c r="G32" s="8">
        <f t="shared" ref="G32" si="66">SUM(G25:G31)</f>
        <v>1195.3000000000002</v>
      </c>
      <c r="H32" s="8">
        <f t="shared" ref="H32" si="67">SUM(H25:H31)</f>
        <v>1502</v>
      </c>
      <c r="I32" s="8">
        <f t="shared" ref="I32" si="68">SUM(I25:I31)</f>
        <v>1830.4</v>
      </c>
      <c r="J32" s="8">
        <f t="shared" si="63"/>
        <v>1712</v>
      </c>
      <c r="K32" s="8">
        <f t="shared" si="63"/>
        <v>1802</v>
      </c>
      <c r="L32" s="8">
        <f t="shared" si="63"/>
        <v>2120</v>
      </c>
      <c r="M32" s="8">
        <f>SUM(M25:M31)</f>
        <v>2315</v>
      </c>
      <c r="N32" s="8">
        <f>SUM(N25:N31)</f>
        <v>2518</v>
      </c>
      <c r="O32" s="8">
        <f>SUM(O25:O31)</f>
        <v>2875</v>
      </c>
      <c r="P32" s="8">
        <f t="shared" ref="P32:R32" si="69">SUM(P25:P31)</f>
        <v>2906.2404999999999</v>
      </c>
      <c r="Q32" s="8">
        <f t="shared" si="69"/>
        <v>3200.1915000000004</v>
      </c>
      <c r="R32" s="8">
        <f t="shared" si="69"/>
        <v>3432.0430000000001</v>
      </c>
      <c r="W32" s="8">
        <f>SUM(W25:W31)</f>
        <v>3383.5650000000001</v>
      </c>
      <c r="X32" s="8">
        <f t="shared" ref="X32:Z32" si="70">SUM(X25:X31)</f>
        <v>4627.759</v>
      </c>
      <c r="Y32" s="8">
        <f t="shared" si="70"/>
        <v>2080.5</v>
      </c>
      <c r="Z32" s="8">
        <f t="shared" si="70"/>
        <v>4391.3999999999996</v>
      </c>
      <c r="AA32" s="8">
        <f>SUM(AA25:AA31)</f>
        <v>6238.4</v>
      </c>
      <c r="AB32" s="8">
        <f>SUM(AB25:AB31)</f>
        <v>8770</v>
      </c>
      <c r="AC32" s="8">
        <f>SUM(AC25:AC31)</f>
        <v>12413.475</v>
      </c>
      <c r="AD32" s="8">
        <f t="shared" ref="AD32:AL32" si="71">SUM(AD25:AD31)</f>
        <v>14603.601081674617</v>
      </c>
      <c r="AE32" s="8">
        <f t="shared" si="71"/>
        <v>19722.399936952454</v>
      </c>
      <c r="AF32" s="8">
        <f t="shared" si="71"/>
        <v>26416.03661504497</v>
      </c>
      <c r="AG32" s="8">
        <f t="shared" si="71"/>
        <v>33089.811672011136</v>
      </c>
      <c r="AH32" s="8">
        <f t="shared" si="71"/>
        <v>42463.651798478335</v>
      </c>
      <c r="AI32" s="8">
        <f t="shared" si="71"/>
        <v>54082.958136672838</v>
      </c>
      <c r="AJ32" s="8">
        <f t="shared" si="71"/>
        <v>68368.383846014112</v>
      </c>
      <c r="AK32" s="8">
        <f t="shared" si="71"/>
        <v>86484.929240547601</v>
      </c>
      <c r="AL32" s="8">
        <f t="shared" si="71"/>
        <v>107776.36300641748</v>
      </c>
    </row>
    <row r="33" spans="2:209" x14ac:dyDescent="0.45">
      <c r="B33" s="5" t="s">
        <v>26</v>
      </c>
      <c r="C33" s="8">
        <f t="shared" ref="C33:L33" si="72">C24-C32</f>
        <v>-343.1</v>
      </c>
      <c r="D33" s="8">
        <f t="shared" si="72"/>
        <v>-440.5</v>
      </c>
      <c r="E33" s="8">
        <f t="shared" ref="E33" si="73">E24-E32</f>
        <v>-382.90000000000009</v>
      </c>
      <c r="F33" s="8">
        <f t="shared" ref="F33" si="74">F24-F32</f>
        <v>-351.69000000000017</v>
      </c>
      <c r="G33" s="8">
        <f t="shared" ref="G33" si="75">G24-G32</f>
        <v>-185.70000000000016</v>
      </c>
      <c r="H33" s="8">
        <f t="shared" ref="H33" si="76">H24-H32</f>
        <v>-261</v>
      </c>
      <c r="I33" s="8">
        <f t="shared" ref="I33" si="77">I24-I32</f>
        <v>-363.70000000000027</v>
      </c>
      <c r="J33" s="8">
        <f t="shared" si="72"/>
        <v>-204</v>
      </c>
      <c r="K33" s="8">
        <f t="shared" si="72"/>
        <v>-15</v>
      </c>
      <c r="L33" s="8">
        <f t="shared" si="72"/>
        <v>21</v>
      </c>
      <c r="M33" s="8">
        <f>M24-M32</f>
        <v>124</v>
      </c>
      <c r="N33" s="8">
        <f>N24-N32</f>
        <v>161</v>
      </c>
      <c r="O33" s="8">
        <f>O24-O32</f>
        <v>239</v>
      </c>
      <c r="P33" s="8">
        <f t="shared" ref="P33:R33" si="78">P24-P32</f>
        <v>235.14949999999999</v>
      </c>
      <c r="Q33" s="8">
        <f t="shared" si="78"/>
        <v>458.77849999999944</v>
      </c>
      <c r="R33" s="8">
        <f t="shared" si="78"/>
        <v>557.32699999999977</v>
      </c>
      <c r="W33" s="8">
        <f>W24-W32</f>
        <v>-2128.4830000000002</v>
      </c>
      <c r="X33" s="8">
        <f t="shared" ref="X33:Z33" si="79">X24-X32</f>
        <v>-2141.9989999999998</v>
      </c>
      <c r="Y33" s="8">
        <f t="shared" si="79"/>
        <v>-490.39999999999986</v>
      </c>
      <c r="Z33" s="8">
        <f t="shared" si="79"/>
        <v>-1518.9</v>
      </c>
      <c r="AA33" s="8">
        <f>AA24-AA32</f>
        <v>-1014.3999999999996</v>
      </c>
      <c r="AB33" s="8">
        <f>AB24-AB32</f>
        <v>276</v>
      </c>
      <c r="AC33" s="8">
        <f>AC24-AC32</f>
        <v>1490.2549999999992</v>
      </c>
      <c r="AD33" s="8">
        <f>AD24-AD32</f>
        <v>5791.0412923165823</v>
      </c>
      <c r="AE33" s="8">
        <f t="shared" ref="AE33:AL33" si="80">AE24-AE32</f>
        <v>10958.411350652947</v>
      </c>
      <c r="AF33" s="8">
        <f t="shared" si="80"/>
        <v>20096.435282418344</v>
      </c>
      <c r="AG33" s="8">
        <f t="shared" si="80"/>
        <v>27535.612999587087</v>
      </c>
      <c r="AH33" s="8">
        <f t="shared" si="80"/>
        <v>40407.570405278304</v>
      </c>
      <c r="AI33" s="8">
        <f t="shared" si="80"/>
        <v>57903.516034172353</v>
      </c>
      <c r="AJ33" s="8">
        <f t="shared" si="80"/>
        <v>80596.867512629324</v>
      </c>
      <c r="AK33" s="8">
        <f t="shared" si="80"/>
        <v>109732.80831774503</v>
      </c>
      <c r="AL33" s="8">
        <f t="shared" si="80"/>
        <v>145371.83306030638</v>
      </c>
    </row>
    <row r="34" spans="2:209" x14ac:dyDescent="0.45">
      <c r="B34" s="5" t="s">
        <v>27</v>
      </c>
      <c r="C34" s="3">
        <v>0</v>
      </c>
      <c r="D34" s="3">
        <v>0.2</v>
      </c>
      <c r="E34" s="3">
        <v>-0.1</v>
      </c>
      <c r="F34" s="3">
        <v>0.2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W34" s="3">
        <v>0</v>
      </c>
      <c r="X34" s="3">
        <v>0</v>
      </c>
      <c r="Y34" s="3">
        <v>0</v>
      </c>
      <c r="Z34" s="3">
        <v>0.3</v>
      </c>
      <c r="AA34" s="3">
        <v>-0.3</v>
      </c>
      <c r="AB34" s="3">
        <f>SUM(K34:N34)</f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</row>
    <row r="35" spans="2:209" x14ac:dyDescent="0.45">
      <c r="B35" s="5" t="s">
        <v>28</v>
      </c>
      <c r="C35" s="3">
        <v>-15.9</v>
      </c>
      <c r="D35" s="3">
        <v>5.4</v>
      </c>
      <c r="E35" s="3">
        <v>315.8</v>
      </c>
      <c r="F35" s="3">
        <v>-7.9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W35" s="3">
        <v>1188.0160000000001</v>
      </c>
      <c r="X35" s="3">
        <v>-309.178</v>
      </c>
      <c r="Y35" s="3">
        <v>-324.7</v>
      </c>
      <c r="Z35" s="3">
        <v>297.39999999999998</v>
      </c>
      <c r="AA35" s="3">
        <v>0.1</v>
      </c>
      <c r="AB35" s="3">
        <f>SUM(K35:N35)</f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</row>
    <row r="36" spans="2:209" x14ac:dyDescent="0.45">
      <c r="B36" s="5" t="s">
        <v>29</v>
      </c>
      <c r="C36" s="8">
        <f>C33+C34+C35</f>
        <v>-359</v>
      </c>
      <c r="D36" s="8">
        <f>D33+D34+D35</f>
        <v>-434.90000000000003</v>
      </c>
      <c r="E36" s="8">
        <f>E33+E34+E35</f>
        <v>-67.200000000000102</v>
      </c>
      <c r="F36" s="8">
        <f>F33+F34+F35</f>
        <v>-359.39000000000016</v>
      </c>
      <c r="G36" s="8">
        <f t="shared" ref="G36:O36" si="81">G33+G34+G35</f>
        <v>-185.70000000000016</v>
      </c>
      <c r="H36" s="8">
        <f t="shared" si="81"/>
        <v>-261</v>
      </c>
      <c r="I36" s="8">
        <f t="shared" si="81"/>
        <v>-363.70000000000027</v>
      </c>
      <c r="J36" s="8">
        <f t="shared" si="81"/>
        <v>-204</v>
      </c>
      <c r="K36" s="8">
        <f t="shared" si="81"/>
        <v>-15</v>
      </c>
      <c r="L36" s="8">
        <f t="shared" si="81"/>
        <v>21</v>
      </c>
      <c r="M36" s="8">
        <f t="shared" si="81"/>
        <v>124</v>
      </c>
      <c r="N36" s="8">
        <f t="shared" si="81"/>
        <v>161</v>
      </c>
      <c r="O36" s="8">
        <f t="shared" si="81"/>
        <v>239</v>
      </c>
      <c r="P36" s="8">
        <f t="shared" ref="P36:R36" si="82">P33+P34+P35</f>
        <v>235.14949999999999</v>
      </c>
      <c r="Q36" s="8">
        <f t="shared" si="82"/>
        <v>458.77849999999944</v>
      </c>
      <c r="R36" s="8">
        <f t="shared" si="82"/>
        <v>557.32699999999977</v>
      </c>
      <c r="W36" s="8">
        <f t="shared" ref="W36:Z36" si="83">W33+W34+W35</f>
        <v>-940.4670000000001</v>
      </c>
      <c r="X36" s="8">
        <f t="shared" si="83"/>
        <v>-2451.1769999999997</v>
      </c>
      <c r="Y36" s="8">
        <f t="shared" si="83"/>
        <v>-815.09999999999991</v>
      </c>
      <c r="Z36" s="8">
        <f t="shared" si="83"/>
        <v>-1221.2000000000003</v>
      </c>
      <c r="AA36" s="8">
        <f>AA33+AA34+AA35</f>
        <v>-1014.5999999999996</v>
      </c>
      <c r="AB36" s="8">
        <f>AB33+AB34+AB35</f>
        <v>276</v>
      </c>
      <c r="AC36" s="8">
        <f>AC33+AC34+AC35</f>
        <v>1490.2549999999992</v>
      </c>
      <c r="AD36" s="8">
        <f t="shared" ref="AD36:AL36" si="84">AD33+AD34+AD35</f>
        <v>5791.0412923165823</v>
      </c>
      <c r="AE36" s="8">
        <f t="shared" si="84"/>
        <v>10958.411350652947</v>
      </c>
      <c r="AF36" s="8">
        <f t="shared" si="84"/>
        <v>20096.435282418344</v>
      </c>
      <c r="AG36" s="8">
        <f t="shared" si="84"/>
        <v>27535.612999587087</v>
      </c>
      <c r="AH36" s="8">
        <f t="shared" si="84"/>
        <v>40407.570405278304</v>
      </c>
      <c r="AI36" s="8">
        <f t="shared" si="84"/>
        <v>57903.516034172353</v>
      </c>
      <c r="AJ36" s="8">
        <f t="shared" si="84"/>
        <v>80596.867512629324</v>
      </c>
      <c r="AK36" s="8">
        <f t="shared" si="84"/>
        <v>109732.80831774503</v>
      </c>
      <c r="AL36" s="8">
        <f t="shared" si="84"/>
        <v>145371.83306030638</v>
      </c>
    </row>
    <row r="37" spans="2:209" x14ac:dyDescent="0.45">
      <c r="B37" s="5" t="s">
        <v>30</v>
      </c>
      <c r="C37" s="3">
        <v>1.7</v>
      </c>
      <c r="D37" s="3">
        <v>0</v>
      </c>
      <c r="E37" s="3">
        <v>0</v>
      </c>
      <c r="F37" s="3">
        <v>0.3</v>
      </c>
      <c r="G37" s="3">
        <v>0</v>
      </c>
      <c r="H37" s="3">
        <v>-10</v>
      </c>
      <c r="I37" s="3">
        <f>-17.2+0.2</f>
        <v>-17</v>
      </c>
      <c r="J37" s="3">
        <v>-16</v>
      </c>
      <c r="K37" s="3">
        <v>-17</v>
      </c>
      <c r="L37" s="3">
        <v>-15</v>
      </c>
      <c r="M37" s="3">
        <v>-14</v>
      </c>
      <c r="N37" s="3">
        <v>-14</v>
      </c>
      <c r="O37" s="3">
        <v>-14</v>
      </c>
      <c r="P37" s="3">
        <f>P36*P44</f>
        <v>59.182426159999999</v>
      </c>
      <c r="Q37" s="3">
        <f>Q36*Q44</f>
        <v>115.46537287999986</v>
      </c>
      <c r="R37" s="3">
        <f>R36*R44</f>
        <v>140.26805935999994</v>
      </c>
      <c r="W37" s="3">
        <v>0</v>
      </c>
      <c r="X37" s="3">
        <v>0</v>
      </c>
      <c r="Y37" s="3">
        <v>1.3</v>
      </c>
      <c r="Z37" s="3">
        <v>2</v>
      </c>
      <c r="AA37" s="3">
        <f>0.4-44</f>
        <v>-43.6</v>
      </c>
      <c r="AB37" s="3">
        <f>SUM(K37:N37)</f>
        <v>-60</v>
      </c>
      <c r="AC37" s="3">
        <f>SUM(O37:R37)</f>
        <v>300.91585839999982</v>
      </c>
      <c r="AD37" s="3">
        <f t="shared" ref="AD37:AL37" si="85">AD36*AD44</f>
        <v>1169.3409258867036</v>
      </c>
      <c r="AE37" s="3">
        <f t="shared" si="85"/>
        <v>2212.7486626664795</v>
      </c>
      <c r="AF37" s="3">
        <f t="shared" si="85"/>
        <v>4057.9203383239528</v>
      </c>
      <c r="AG37" s="3">
        <f t="shared" si="85"/>
        <v>5560.0569180046014</v>
      </c>
      <c r="AH37" s="3">
        <f t="shared" si="85"/>
        <v>8159.1933825840251</v>
      </c>
      <c r="AI37" s="3">
        <f t="shared" si="85"/>
        <v>11692.016622525096</v>
      </c>
      <c r="AJ37" s="3">
        <f t="shared" si="85"/>
        <v>16274.312498138859</v>
      </c>
      <c r="AK37" s="3">
        <f t="shared" si="85"/>
        <v>22157.511439033526</v>
      </c>
      <c r="AL37" s="3">
        <f t="shared" si="85"/>
        <v>29353.828661889132</v>
      </c>
    </row>
    <row r="38" spans="2:209" x14ac:dyDescent="0.45">
      <c r="B38" s="7" t="s">
        <v>31</v>
      </c>
      <c r="C38" s="9">
        <f t="shared" ref="C38:L38" si="86">C36-C37</f>
        <v>-360.7</v>
      </c>
      <c r="D38" s="9">
        <f t="shared" si="86"/>
        <v>-434.90000000000003</v>
      </c>
      <c r="E38" s="9">
        <f t="shared" ref="E38" si="87">E36-E37</f>
        <v>-67.200000000000102</v>
      </c>
      <c r="F38" s="9">
        <f t="shared" ref="F38" si="88">F36-F37</f>
        <v>-359.69000000000017</v>
      </c>
      <c r="G38" s="9">
        <f t="shared" ref="G38" si="89">G36-G37</f>
        <v>-185.70000000000016</v>
      </c>
      <c r="H38" s="9">
        <f>H36-H37</f>
        <v>-251</v>
      </c>
      <c r="I38" s="9">
        <f t="shared" ref="I38" si="90">I36-I37</f>
        <v>-346.70000000000027</v>
      </c>
      <c r="J38" s="9">
        <f t="shared" si="86"/>
        <v>-188</v>
      </c>
      <c r="K38" s="9">
        <f t="shared" si="86"/>
        <v>2</v>
      </c>
      <c r="L38" s="9">
        <f t="shared" si="86"/>
        <v>36</v>
      </c>
      <c r="M38" s="9">
        <f>M36-M37</f>
        <v>138</v>
      </c>
      <c r="N38" s="9">
        <f>N36-N37</f>
        <v>175</v>
      </c>
      <c r="O38" s="9">
        <f>O36-O37</f>
        <v>253</v>
      </c>
      <c r="P38" s="9">
        <f t="shared" ref="P38:R38" si="91">P36-P37</f>
        <v>175.96707383999998</v>
      </c>
      <c r="Q38" s="9">
        <f t="shared" si="91"/>
        <v>343.31312711999959</v>
      </c>
      <c r="R38" s="9">
        <f t="shared" si="91"/>
        <v>417.05894063999983</v>
      </c>
      <c r="W38" s="9">
        <f>W36-W37</f>
        <v>-940.4670000000001</v>
      </c>
      <c r="X38" s="9">
        <f t="shared" ref="X38:Z38" si="92">X36-X37</f>
        <v>-2451.1769999999997</v>
      </c>
      <c r="Y38" s="9">
        <f t="shared" si="92"/>
        <v>-816.39999999999986</v>
      </c>
      <c r="Z38" s="9">
        <f t="shared" si="92"/>
        <v>-1223.2000000000003</v>
      </c>
      <c r="AA38" s="9">
        <f>AA36-AA37</f>
        <v>-970.99999999999955</v>
      </c>
      <c r="AB38" s="9">
        <f>AB36-AB37</f>
        <v>336</v>
      </c>
      <c r="AC38" s="9">
        <f>AC36-AC37</f>
        <v>1189.3391415999995</v>
      </c>
      <c r="AD38" s="9">
        <f t="shared" ref="AD38:AL38" si="93">AD36-AD37</f>
        <v>4621.7003664298791</v>
      </c>
      <c r="AE38" s="9">
        <f t="shared" si="93"/>
        <v>8745.6626879864671</v>
      </c>
      <c r="AF38" s="9">
        <f t="shared" si="93"/>
        <v>16038.514944094391</v>
      </c>
      <c r="AG38" s="9">
        <f t="shared" si="93"/>
        <v>21975.556081582487</v>
      </c>
      <c r="AH38" s="9">
        <f t="shared" si="93"/>
        <v>32248.37702269428</v>
      </c>
      <c r="AI38" s="9">
        <f t="shared" si="93"/>
        <v>46211.499411647259</v>
      </c>
      <c r="AJ38" s="9">
        <f t="shared" si="93"/>
        <v>64322.555014490463</v>
      </c>
      <c r="AK38" s="9">
        <f t="shared" si="93"/>
        <v>87575.29687871151</v>
      </c>
      <c r="AL38" s="9">
        <f t="shared" si="93"/>
        <v>116018.00439841725</v>
      </c>
      <c r="AM38" s="9">
        <f t="shared" ref="AM38:BR38" si="94">AL38*(1+$AP$54)</f>
        <v>119498.54453036978</v>
      </c>
      <c r="AN38" s="9">
        <f t="shared" si="94"/>
        <v>123083.50086628087</v>
      </c>
      <c r="AO38" s="9">
        <f t="shared" si="94"/>
        <v>126776.0058922693</v>
      </c>
      <c r="AP38" s="9">
        <f t="shared" si="94"/>
        <v>130579.28606903738</v>
      </c>
      <c r="AQ38" s="9">
        <f t="shared" si="94"/>
        <v>134496.6646511085</v>
      </c>
      <c r="AR38" s="9">
        <f t="shared" si="94"/>
        <v>138531.56459064176</v>
      </c>
      <c r="AS38" s="9">
        <f t="shared" si="94"/>
        <v>142687.51152836101</v>
      </c>
      <c r="AT38" s="9">
        <f t="shared" si="94"/>
        <v>146968.13687421184</v>
      </c>
      <c r="AU38" s="9">
        <f t="shared" si="94"/>
        <v>151377.18098043819</v>
      </c>
      <c r="AV38" s="9">
        <f t="shared" si="94"/>
        <v>155918.49640985133</v>
      </c>
      <c r="AW38" s="9">
        <f t="shared" si="94"/>
        <v>160596.05130214687</v>
      </c>
      <c r="AX38" s="9">
        <f t="shared" si="94"/>
        <v>165413.93284121127</v>
      </c>
      <c r="AY38" s="9">
        <f t="shared" si="94"/>
        <v>170376.3508264476</v>
      </c>
      <c r="AZ38" s="9">
        <f t="shared" si="94"/>
        <v>175487.64135124104</v>
      </c>
      <c r="BA38" s="9">
        <f t="shared" si="94"/>
        <v>180752.27059177827</v>
      </c>
      <c r="BB38" s="9">
        <f t="shared" si="94"/>
        <v>186174.83870953161</v>
      </c>
      <c r="BC38" s="9">
        <f t="shared" si="94"/>
        <v>191760.08387081756</v>
      </c>
      <c r="BD38" s="9">
        <f t="shared" si="94"/>
        <v>197512.88638694209</v>
      </c>
      <c r="BE38" s="9">
        <f t="shared" si="94"/>
        <v>203438.27297855035</v>
      </c>
      <c r="BF38" s="9">
        <f t="shared" si="94"/>
        <v>209541.42116790687</v>
      </c>
      <c r="BG38" s="9">
        <f t="shared" si="94"/>
        <v>215827.66380294409</v>
      </c>
      <c r="BH38" s="9">
        <f t="shared" si="94"/>
        <v>222302.49371703243</v>
      </c>
      <c r="BI38" s="9">
        <f t="shared" si="94"/>
        <v>228971.5685285434</v>
      </c>
      <c r="BJ38" s="9">
        <f t="shared" si="94"/>
        <v>235840.7155843997</v>
      </c>
      <c r="BK38" s="9">
        <f t="shared" si="94"/>
        <v>242915.93705193169</v>
      </c>
      <c r="BL38" s="9">
        <f t="shared" si="94"/>
        <v>250203.41516348964</v>
      </c>
      <c r="BM38" s="9">
        <f t="shared" si="94"/>
        <v>257709.51761839434</v>
      </c>
      <c r="BN38" s="9">
        <f t="shared" si="94"/>
        <v>265440.80314694619</v>
      </c>
      <c r="BO38" s="9">
        <f t="shared" si="94"/>
        <v>273404.02724135458</v>
      </c>
      <c r="BP38" s="9">
        <f t="shared" si="94"/>
        <v>281606.14805859519</v>
      </c>
      <c r="BQ38" s="9">
        <f t="shared" si="94"/>
        <v>290054.33250035305</v>
      </c>
      <c r="BR38" s="9">
        <f t="shared" si="94"/>
        <v>298755.96247536363</v>
      </c>
      <c r="BS38" s="9">
        <f t="shared" ref="BS38:CX38" si="95">BR38*(1+$AP$54)</f>
        <v>307718.64134962455</v>
      </c>
      <c r="BT38" s="9">
        <f t="shared" si="95"/>
        <v>316950.20059011329</v>
      </c>
      <c r="BU38" s="9">
        <f t="shared" si="95"/>
        <v>326458.70660781668</v>
      </c>
      <c r="BV38" s="9">
        <f t="shared" si="95"/>
        <v>336252.46780605119</v>
      </c>
      <c r="BW38" s="9">
        <f t="shared" si="95"/>
        <v>346340.04184023273</v>
      </c>
      <c r="BX38" s="9">
        <f t="shared" si="95"/>
        <v>356730.24309543974</v>
      </c>
      <c r="BY38" s="9">
        <f t="shared" si="95"/>
        <v>367432.15038830292</v>
      </c>
      <c r="BZ38" s="9">
        <f t="shared" si="95"/>
        <v>378455.11489995202</v>
      </c>
      <c r="CA38" s="9">
        <f t="shared" si="95"/>
        <v>389808.76834695059</v>
      </c>
      <c r="CB38" s="9">
        <f t="shared" si="95"/>
        <v>401503.0313973591</v>
      </c>
      <c r="CC38" s="9">
        <f t="shared" si="95"/>
        <v>413548.12233927986</v>
      </c>
      <c r="CD38" s="9">
        <f t="shared" si="95"/>
        <v>425954.56600945827</v>
      </c>
      <c r="CE38" s="9">
        <f t="shared" si="95"/>
        <v>438733.20298974204</v>
      </c>
      <c r="CF38" s="9">
        <f t="shared" si="95"/>
        <v>451895.19907943433</v>
      </c>
      <c r="CG38" s="9">
        <f t="shared" si="95"/>
        <v>465452.05505181738</v>
      </c>
      <c r="CH38" s="9">
        <f t="shared" si="95"/>
        <v>479415.61670337192</v>
      </c>
      <c r="CI38" s="9">
        <f t="shared" si="95"/>
        <v>493798.08520447311</v>
      </c>
      <c r="CJ38" s="9">
        <f t="shared" si="95"/>
        <v>508612.02776060731</v>
      </c>
      <c r="CK38" s="9">
        <f t="shared" si="95"/>
        <v>523870.38859342557</v>
      </c>
      <c r="CL38" s="9">
        <f t="shared" si="95"/>
        <v>539586.50025122834</v>
      </c>
      <c r="CM38" s="9">
        <f t="shared" si="95"/>
        <v>555774.09525876516</v>
      </c>
      <c r="CN38" s="9">
        <f t="shared" si="95"/>
        <v>572447.3181165281</v>
      </c>
      <c r="CO38" s="9">
        <f t="shared" si="95"/>
        <v>589620.73766002397</v>
      </c>
      <c r="CP38" s="9">
        <f t="shared" si="95"/>
        <v>607309.3597898247</v>
      </c>
      <c r="CQ38" s="9">
        <f t="shared" si="95"/>
        <v>625528.64058351947</v>
      </c>
      <c r="CR38" s="9">
        <f t="shared" si="95"/>
        <v>644294.49980102503</v>
      </c>
      <c r="CS38" s="9">
        <f t="shared" si="95"/>
        <v>663623.33479505579</v>
      </c>
      <c r="CT38" s="9">
        <f t="shared" si="95"/>
        <v>683532.03483890754</v>
      </c>
      <c r="CU38" s="9">
        <f t="shared" si="95"/>
        <v>704037.99588407483</v>
      </c>
      <c r="CV38" s="9">
        <f t="shared" si="95"/>
        <v>725159.13576059707</v>
      </c>
      <c r="CW38" s="9">
        <f t="shared" si="95"/>
        <v>746913.90983341495</v>
      </c>
      <c r="CX38" s="9">
        <f t="shared" si="95"/>
        <v>769321.32712841744</v>
      </c>
      <c r="CY38" s="9">
        <f t="shared" ref="CY38:ED38" si="96">CX38*(1+$AP$54)</f>
        <v>792400.96694226994</v>
      </c>
      <c r="CZ38" s="9">
        <f t="shared" si="96"/>
        <v>816172.99595053808</v>
      </c>
      <c r="DA38" s="9">
        <f t="shared" si="96"/>
        <v>840658.18582905421</v>
      </c>
      <c r="DB38" s="9">
        <f t="shared" si="96"/>
        <v>865877.93140392588</v>
      </c>
      <c r="DC38" s="9">
        <f t="shared" si="96"/>
        <v>891854.2693460437</v>
      </c>
      <c r="DD38" s="9">
        <f t="shared" si="96"/>
        <v>918609.89742642501</v>
      </c>
      <c r="DE38" s="9">
        <f t="shared" si="96"/>
        <v>946168.19434921781</v>
      </c>
      <c r="DF38" s="9">
        <f t="shared" si="96"/>
        <v>974553.24017969437</v>
      </c>
      <c r="DG38" s="9">
        <f t="shared" si="96"/>
        <v>1003789.8373850852</v>
      </c>
      <c r="DH38" s="9">
        <f t="shared" si="96"/>
        <v>1033903.5325066377</v>
      </c>
      <c r="DI38" s="9">
        <f t="shared" si="96"/>
        <v>1064920.638481837</v>
      </c>
      <c r="DJ38" s="9">
        <f t="shared" si="96"/>
        <v>1096868.2576362921</v>
      </c>
      <c r="DK38" s="9">
        <f t="shared" si="96"/>
        <v>1129774.3053653808</v>
      </c>
      <c r="DL38" s="9">
        <f t="shared" si="96"/>
        <v>1163667.5345263423</v>
      </c>
      <c r="DM38" s="9">
        <f t="shared" si="96"/>
        <v>1198577.5605621326</v>
      </c>
      <c r="DN38" s="9">
        <f t="shared" si="96"/>
        <v>1234534.8873789967</v>
      </c>
      <c r="DO38" s="9">
        <f t="shared" si="96"/>
        <v>1271570.9340003666</v>
      </c>
      <c r="DP38" s="9">
        <f t="shared" si="96"/>
        <v>1309718.0620203777</v>
      </c>
      <c r="DQ38" s="9">
        <f t="shared" si="96"/>
        <v>1349009.6038809891</v>
      </c>
      <c r="DR38" s="9">
        <f t="shared" si="96"/>
        <v>1389479.8919974188</v>
      </c>
      <c r="DS38" s="9">
        <f t="shared" si="96"/>
        <v>1431164.2887573414</v>
      </c>
      <c r="DT38" s="9">
        <f t="shared" si="96"/>
        <v>1474099.2174200618</v>
      </c>
      <c r="DU38" s="9">
        <f t="shared" si="96"/>
        <v>1518322.1939426637</v>
      </c>
      <c r="DV38" s="9">
        <f t="shared" si="96"/>
        <v>1563871.8597609436</v>
      </c>
      <c r="DW38" s="9">
        <f t="shared" si="96"/>
        <v>1610788.015553772</v>
      </c>
      <c r="DX38" s="9">
        <f t="shared" si="96"/>
        <v>1659111.6560203852</v>
      </c>
      <c r="DY38" s="9">
        <f t="shared" si="96"/>
        <v>1708885.0057009968</v>
      </c>
      <c r="DZ38" s="9">
        <f t="shared" si="96"/>
        <v>1760151.5558720268</v>
      </c>
      <c r="EA38" s="9">
        <f t="shared" si="96"/>
        <v>1812956.1025481876</v>
      </c>
      <c r="EB38" s="9">
        <f t="shared" si="96"/>
        <v>1867344.7856246333</v>
      </c>
      <c r="EC38" s="9">
        <f t="shared" si="96"/>
        <v>1923365.1291933723</v>
      </c>
      <c r="ED38" s="9">
        <f t="shared" si="96"/>
        <v>1981066.0830691736</v>
      </c>
      <c r="EE38" s="9">
        <f t="shared" ref="EE38:FJ38" si="97">ED38*(1+$AP$54)</f>
        <v>2040498.0655612489</v>
      </c>
      <c r="EF38" s="9">
        <f t="shared" si="97"/>
        <v>2101713.0075280867</v>
      </c>
      <c r="EG38" s="9">
        <f t="shared" si="97"/>
        <v>2164764.3977539293</v>
      </c>
      <c r="EH38" s="9">
        <f t="shared" si="97"/>
        <v>2229707.3296865472</v>
      </c>
      <c r="EI38" s="9">
        <f t="shared" si="97"/>
        <v>2296598.5495771435</v>
      </c>
      <c r="EJ38" s="9">
        <f t="shared" si="97"/>
        <v>2365496.5060644578</v>
      </c>
      <c r="EK38" s="9">
        <f t="shared" si="97"/>
        <v>2436461.4012463917</v>
      </c>
      <c r="EL38" s="9">
        <f t="shared" si="97"/>
        <v>2509555.2432837836</v>
      </c>
      <c r="EM38" s="9">
        <f t="shared" si="97"/>
        <v>2584841.9005822972</v>
      </c>
      <c r="EN38" s="9">
        <f t="shared" si="97"/>
        <v>2662387.1575997663</v>
      </c>
      <c r="EO38" s="9">
        <f t="shared" si="97"/>
        <v>2742258.7723277593</v>
      </c>
      <c r="EP38" s="9">
        <f t="shared" si="97"/>
        <v>2824526.5354975923</v>
      </c>
      <c r="EQ38" s="9">
        <f t="shared" si="97"/>
        <v>2909262.33156252</v>
      </c>
      <c r="ER38" s="9">
        <f t="shared" si="97"/>
        <v>2996540.2015093956</v>
      </c>
      <c r="ES38" s="9">
        <f t="shared" si="97"/>
        <v>3086436.4075546777</v>
      </c>
      <c r="ET38" s="9">
        <f t="shared" si="97"/>
        <v>3179029.499781318</v>
      </c>
      <c r="EU38" s="9">
        <f t="shared" si="97"/>
        <v>3274400.3847747575</v>
      </c>
      <c r="EV38" s="9">
        <f t="shared" si="97"/>
        <v>3372632.3963180003</v>
      </c>
      <c r="EW38" s="9">
        <f t="shared" si="97"/>
        <v>3473811.3682075404</v>
      </c>
      <c r="EX38" s="9">
        <f t="shared" si="97"/>
        <v>3578025.7092537666</v>
      </c>
      <c r="EY38" s="9">
        <f t="shared" si="97"/>
        <v>3685366.4805313796</v>
      </c>
      <c r="EZ38" s="9">
        <f t="shared" si="97"/>
        <v>3795927.4749473212</v>
      </c>
      <c r="FA38" s="9">
        <f t="shared" si="97"/>
        <v>3909805.2991957408</v>
      </c>
      <c r="FB38" s="9">
        <f t="shared" si="97"/>
        <v>4027099.458171613</v>
      </c>
      <c r="FC38" s="9">
        <f t="shared" si="97"/>
        <v>4147912.4419167615</v>
      </c>
      <c r="FD38" s="9">
        <f t="shared" si="97"/>
        <v>4272349.8151742648</v>
      </c>
      <c r="FE38" s="9">
        <f t="shared" si="97"/>
        <v>4400520.3096294925</v>
      </c>
      <c r="FF38" s="9">
        <f t="shared" si="97"/>
        <v>4532535.9189183777</v>
      </c>
      <c r="FG38" s="9">
        <f t="shared" si="97"/>
        <v>4668511.996485929</v>
      </c>
      <c r="FH38" s="9">
        <f t="shared" si="97"/>
        <v>4808567.3563805073</v>
      </c>
      <c r="FI38" s="9">
        <f t="shared" si="97"/>
        <v>4952824.3770719226</v>
      </c>
      <c r="FJ38" s="9">
        <f t="shared" si="97"/>
        <v>5101409.1083840802</v>
      </c>
      <c r="FK38" s="9">
        <f t="shared" ref="FK38:GP38" si="98">FJ38*(1+$AP$54)</f>
        <v>5254451.3816356026</v>
      </c>
      <c r="FL38" s="9">
        <f t="shared" si="98"/>
        <v>5412084.9230846707</v>
      </c>
      <c r="FM38" s="9">
        <f t="shared" si="98"/>
        <v>5574447.4707772108</v>
      </c>
      <c r="FN38" s="9">
        <f t="shared" si="98"/>
        <v>5741680.8949005269</v>
      </c>
      <c r="FO38" s="9">
        <f t="shared" si="98"/>
        <v>5913931.3217475424</v>
      </c>
      <c r="FP38" s="9">
        <f t="shared" si="98"/>
        <v>6091349.2613999685</v>
      </c>
      <c r="FQ38" s="9">
        <f t="shared" si="98"/>
        <v>6274089.7392419679</v>
      </c>
      <c r="FR38" s="9">
        <f t="shared" si="98"/>
        <v>6462312.4314192273</v>
      </c>
      <c r="FS38" s="9">
        <f t="shared" si="98"/>
        <v>6656181.8043618044</v>
      </c>
      <c r="FT38" s="9">
        <f t="shared" si="98"/>
        <v>6855867.2584926588</v>
      </c>
      <c r="FU38" s="9">
        <f t="shared" si="98"/>
        <v>7061543.276247439</v>
      </c>
      <c r="FV38" s="9">
        <f t="shared" si="98"/>
        <v>7273389.5745348623</v>
      </c>
      <c r="FW38" s="9">
        <f t="shared" si="98"/>
        <v>7491591.2617709087</v>
      </c>
      <c r="FX38" s="9">
        <f t="shared" si="98"/>
        <v>7716338.9996240363</v>
      </c>
      <c r="FY38" s="9">
        <f t="shared" si="98"/>
        <v>7947829.1696127579</v>
      </c>
      <c r="FZ38" s="9">
        <f t="shared" si="98"/>
        <v>8186264.0447011404</v>
      </c>
      <c r="GA38" s="9">
        <f t="shared" si="98"/>
        <v>8431851.966042174</v>
      </c>
      <c r="GB38" s="9">
        <f t="shared" si="98"/>
        <v>8684807.5250234399</v>
      </c>
      <c r="GC38" s="9">
        <f t="shared" si="98"/>
        <v>8945351.7507741433</v>
      </c>
      <c r="GD38" s="9">
        <f t="shared" si="98"/>
        <v>9213712.3032973669</v>
      </c>
      <c r="GE38" s="9">
        <f t="shared" si="98"/>
        <v>9490123.6723962873</v>
      </c>
      <c r="GF38" s="9">
        <f t="shared" si="98"/>
        <v>9774827.3825681768</v>
      </c>
      <c r="GG38" s="9">
        <f t="shared" si="98"/>
        <v>10068072.204045223</v>
      </c>
      <c r="GH38" s="9">
        <f t="shared" si="98"/>
        <v>10370114.370166579</v>
      </c>
      <c r="GI38" s="9">
        <f t="shared" si="98"/>
        <v>10681217.801271576</v>
      </c>
      <c r="GJ38" s="9">
        <f t="shared" si="98"/>
        <v>11001654.335309723</v>
      </c>
      <c r="GK38" s="9">
        <f t="shared" si="98"/>
        <v>11331703.965369016</v>
      </c>
      <c r="GL38" s="9">
        <f t="shared" si="98"/>
        <v>11671655.084330088</v>
      </c>
      <c r="GM38" s="9">
        <f t="shared" si="98"/>
        <v>12021804.73685999</v>
      </c>
      <c r="GN38" s="9">
        <f t="shared" si="98"/>
        <v>12382458.878965789</v>
      </c>
      <c r="GO38" s="9">
        <f t="shared" si="98"/>
        <v>12753932.645334763</v>
      </c>
      <c r="GP38" s="9">
        <f t="shared" si="98"/>
        <v>13136550.624694807</v>
      </c>
      <c r="GQ38" s="9">
        <f t="shared" ref="GQ38:HA38" si="99">GP38*(1+$AP$54)</f>
        <v>13530647.143435651</v>
      </c>
      <c r="GR38" s="9">
        <f t="shared" si="99"/>
        <v>13936566.557738721</v>
      </c>
      <c r="GS38" s="9">
        <f t="shared" si="99"/>
        <v>14354663.554470884</v>
      </c>
      <c r="GT38" s="9">
        <f t="shared" si="99"/>
        <v>14785303.461105011</v>
      </c>
      <c r="GU38" s="9">
        <f t="shared" si="99"/>
        <v>15228862.564938162</v>
      </c>
      <c r="GV38" s="9">
        <f t="shared" si="99"/>
        <v>15685728.441886308</v>
      </c>
      <c r="GW38" s="9">
        <f t="shared" si="99"/>
        <v>16156300.295142896</v>
      </c>
      <c r="GX38" s="9">
        <f t="shared" si="99"/>
        <v>16640989.303997183</v>
      </c>
      <c r="GY38" s="9">
        <f t="shared" si="99"/>
        <v>17140218.9831171</v>
      </c>
      <c r="GZ38" s="9">
        <f t="shared" si="99"/>
        <v>17654425.552610613</v>
      </c>
      <c r="HA38" s="9">
        <f t="shared" si="99"/>
        <v>18184058.319188934</v>
      </c>
    </row>
    <row r="39" spans="2:209" x14ac:dyDescent="0.45">
      <c r="B39" s="5" t="s">
        <v>32</v>
      </c>
      <c r="C39" s="10">
        <f t="shared" ref="C39:M39" si="100">C38/C40</f>
        <v>-0.56527190095596302</v>
      </c>
      <c r="D39" s="10">
        <f t="shared" si="100"/>
        <v>-0.57488433575677467</v>
      </c>
      <c r="E39" s="10">
        <f t="shared" ref="E39" si="101">E38/E40</f>
        <v>-8.7981146897093618E-2</v>
      </c>
      <c r="F39" s="10">
        <f t="shared" ref="F39" si="102">F38/F40</f>
        <v>-0.47061363339003032</v>
      </c>
      <c r="G39" s="10">
        <f t="shared" ref="G39" si="103">G38/G40</f>
        <v>-0.24268165185572418</v>
      </c>
      <c r="H39" s="10">
        <f t="shared" ref="H39" si="104">H38/H40</f>
        <v>-0.30095923261390889</v>
      </c>
      <c r="I39" s="10">
        <f t="shared" ref="I39" si="105">I38/I40</f>
        <v>-0.4148121560181865</v>
      </c>
      <c r="J39" s="10">
        <f t="shared" si="100"/>
        <v>-0.22407628128724671</v>
      </c>
      <c r="K39" s="10">
        <f t="shared" si="100"/>
        <v>2.3809523809523812E-3</v>
      </c>
      <c r="L39" s="10">
        <f t="shared" si="100"/>
        <v>4.2603550295857988E-2</v>
      </c>
      <c r="M39" s="10">
        <f t="shared" si="100"/>
        <v>0.16102683780630106</v>
      </c>
      <c r="N39" s="10">
        <f>N38/N40</f>
        <v>0.20161290322580644</v>
      </c>
      <c r="O39" s="10">
        <f>O38/O40</f>
        <v>0.29080459770114941</v>
      </c>
      <c r="P39" s="10">
        <f t="shared" ref="P39:R39" si="106">P38/P40</f>
        <v>0.20226100441379308</v>
      </c>
      <c r="Q39" s="10">
        <f t="shared" si="106"/>
        <v>0.39461278979310299</v>
      </c>
      <c r="R39" s="10">
        <f t="shared" si="106"/>
        <v>0.47937809268965498</v>
      </c>
      <c r="W39" s="14">
        <f>W38/W40</f>
        <v>-2.1532372571802183</v>
      </c>
      <c r="X39" s="14">
        <f t="shared" ref="X39:Z39" si="107">X38/X40</f>
        <v>-5.6120689405829607</v>
      </c>
      <c r="Y39" s="14">
        <f t="shared" si="107"/>
        <v>-1.5213179952987155</v>
      </c>
      <c r="Z39" s="14">
        <f t="shared" si="107"/>
        <v>-1.6923841441458192</v>
      </c>
      <c r="AA39" s="14">
        <f>AA38/AA40</f>
        <v>-1.1985939461554227</v>
      </c>
      <c r="AB39" s="14">
        <f>AB38/AB40</f>
        <v>0.38709677419354838</v>
      </c>
      <c r="AC39" s="14">
        <f t="shared" ref="AC39:AL39" si="108">AC38/AC40</f>
        <v>1.3670564845977005</v>
      </c>
      <c r="AD39" s="14">
        <f t="shared" si="108"/>
        <v>5.3122992717584818</v>
      </c>
      <c r="AE39" s="14">
        <f t="shared" si="108"/>
        <v>10.052485848260307</v>
      </c>
      <c r="AF39" s="14">
        <f t="shared" si="108"/>
        <v>18.435074648384358</v>
      </c>
      <c r="AG39" s="14">
        <f t="shared" si="108"/>
        <v>25.259259863887916</v>
      </c>
      <c r="AH39" s="14">
        <f t="shared" si="108"/>
        <v>37.067100026085377</v>
      </c>
      <c r="AI39" s="14">
        <f t="shared" si="108"/>
        <v>53.116665990399149</v>
      </c>
      <c r="AJ39" s="14">
        <f t="shared" si="108"/>
        <v>73.933971281023517</v>
      </c>
      <c r="AK39" s="14">
        <f t="shared" si="108"/>
        <v>100.66126078012817</v>
      </c>
      <c r="AL39" s="14">
        <f t="shared" si="108"/>
        <v>133.35402804415776</v>
      </c>
    </row>
    <row r="40" spans="2:209" x14ac:dyDescent="0.45">
      <c r="B40" s="5" t="s">
        <v>4</v>
      </c>
      <c r="C40" s="3">
        <v>638.1</v>
      </c>
      <c r="D40" s="3">
        <v>756.5</v>
      </c>
      <c r="E40" s="3">
        <v>763.8</v>
      </c>
      <c r="F40" s="3">
        <v>764.3</v>
      </c>
      <c r="G40" s="3">
        <v>765.2</v>
      </c>
      <c r="H40" s="3">
        <v>834</v>
      </c>
      <c r="I40" s="3">
        <v>835.8</v>
      </c>
      <c r="J40" s="3">
        <v>839</v>
      </c>
      <c r="K40" s="3">
        <v>840</v>
      </c>
      <c r="L40" s="3">
        <v>845</v>
      </c>
      <c r="M40" s="3">
        <v>857</v>
      </c>
      <c r="N40" s="3">
        <v>868</v>
      </c>
      <c r="O40" s="3">
        <v>870</v>
      </c>
      <c r="P40" s="3">
        <f>O40</f>
        <v>870</v>
      </c>
      <c r="Q40" s="3">
        <f t="shared" ref="Q40:R40" si="109">P40</f>
        <v>870</v>
      </c>
      <c r="R40" s="3">
        <f t="shared" si="109"/>
        <v>870</v>
      </c>
      <c r="W40" s="3">
        <f>4367688683/(1000*1000*10)</f>
        <v>436.76886830000001</v>
      </c>
      <c r="X40" s="3">
        <f>4367688683/(1000*1000*10)</f>
        <v>436.76886830000001</v>
      </c>
      <c r="Y40" s="3">
        <f>5366399415/(1000*1000*10)</f>
        <v>536.63994149999996</v>
      </c>
      <c r="Z40" s="3">
        <f>7227673482/(1000*1000*10)</f>
        <v>722.76734820000001</v>
      </c>
      <c r="AA40" s="3">
        <f>8101158888/(1000*1000*10)</f>
        <v>810.11588879999999</v>
      </c>
      <c r="AB40" s="3">
        <v>868</v>
      </c>
      <c r="AC40" s="3">
        <f>R40</f>
        <v>870</v>
      </c>
      <c r="AD40" s="3">
        <f t="shared" ref="AD40:AL40" si="110">AC40</f>
        <v>870</v>
      </c>
      <c r="AE40" s="3">
        <f t="shared" si="110"/>
        <v>870</v>
      </c>
      <c r="AF40" s="3">
        <f t="shared" si="110"/>
        <v>870</v>
      </c>
      <c r="AG40" s="3">
        <f t="shared" si="110"/>
        <v>870</v>
      </c>
      <c r="AH40" s="3">
        <f t="shared" si="110"/>
        <v>870</v>
      </c>
      <c r="AI40" s="3">
        <f t="shared" si="110"/>
        <v>870</v>
      </c>
      <c r="AJ40" s="3">
        <f t="shared" si="110"/>
        <v>870</v>
      </c>
      <c r="AK40" s="3">
        <f t="shared" si="110"/>
        <v>870</v>
      </c>
      <c r="AL40" s="3">
        <f t="shared" si="110"/>
        <v>870</v>
      </c>
    </row>
    <row r="42" spans="2:209" x14ac:dyDescent="0.45">
      <c r="B42" s="5" t="s">
        <v>44</v>
      </c>
      <c r="C42" s="12"/>
      <c r="G42" s="12">
        <f>G22/C22-1</f>
        <v>0.725943704996727</v>
      </c>
      <c r="H42" s="12">
        <f t="shared" ref="H42:M42" si="111">H22/D22-1</f>
        <v>0.57708871662360028</v>
      </c>
      <c r="I42" s="12">
        <f t="shared" si="111"/>
        <v>0.68421052631578938</v>
      </c>
      <c r="J42" s="12">
        <f t="shared" si="111"/>
        <v>0.64961741024140562</v>
      </c>
      <c r="K42" s="12">
        <f t="shared" si="111"/>
        <v>0.6415929203539823</v>
      </c>
      <c r="L42" s="12">
        <f t="shared" si="111"/>
        <v>0.67121791370835604</v>
      </c>
      <c r="M42" s="12">
        <f t="shared" si="111"/>
        <v>0.65299773755656121</v>
      </c>
      <c r="N42" s="12">
        <f>N22/J22-1</f>
        <v>0.7049842837898519</v>
      </c>
      <c r="O42" s="12">
        <f>O22/K22-1</f>
        <v>0.71043511744320376</v>
      </c>
      <c r="P42" s="12">
        <f>P22/L22-1</f>
        <v>0.46656862745098038</v>
      </c>
      <c r="Q42" s="12">
        <f>Q22/M22-1</f>
        <v>0.49047619047619051</v>
      </c>
      <c r="R42" s="12">
        <f>R22/N22-1</f>
        <v>0.50094811693442209</v>
      </c>
      <c r="X42" s="12">
        <f>X20/W20-1</f>
        <v>1.0091162069149369</v>
      </c>
      <c r="Y42" s="12">
        <f t="shared" ref="Y42:AL42" si="112">Y20/X20-1</f>
        <v>-0.14661722199893945</v>
      </c>
      <c r="Z42" s="12">
        <f t="shared" si="112"/>
        <v>1.1027184271240844</v>
      </c>
      <c r="AA42" s="12">
        <f t="shared" si="112"/>
        <v>0.68862703940463699</v>
      </c>
      <c r="AB42" s="12">
        <f t="shared" si="112"/>
        <v>0.71116196287821021</v>
      </c>
      <c r="AC42" s="12">
        <f t="shared" si="112"/>
        <v>0.61960541522205714</v>
      </c>
      <c r="AD42" s="12">
        <f t="shared" si="112"/>
        <v>0.48471602811431236</v>
      </c>
      <c r="AE42" s="12">
        <f t="shared" si="112"/>
        <v>0.52466646046444243</v>
      </c>
      <c r="AF42" s="12">
        <f t="shared" si="112"/>
        <v>0.55994680367875049</v>
      </c>
      <c r="AG42" s="12">
        <f t="shared" si="112"/>
        <v>0.34190206426534564</v>
      </c>
      <c r="AH42" s="12">
        <f t="shared" si="112"/>
        <v>0.36575592311658967</v>
      </c>
      <c r="AI42" s="12">
        <f t="shared" si="112"/>
        <v>0.39330244007659454</v>
      </c>
      <c r="AJ42" s="12">
        <f t="shared" si="112"/>
        <v>0.35072314984611408</v>
      </c>
      <c r="AK42" s="12">
        <f t="shared" si="112"/>
        <v>0.36038984853025902</v>
      </c>
      <c r="AL42" s="12">
        <f t="shared" si="112"/>
        <v>0.28918285834984281</v>
      </c>
    </row>
    <row r="43" spans="2:209" x14ac:dyDescent="0.45">
      <c r="B43" s="5" t="s">
        <v>45</v>
      </c>
      <c r="C43" s="12">
        <f>C24/C22</f>
        <v>1</v>
      </c>
      <c r="D43" s="12">
        <f t="shared" ref="D43:N43" si="113">D24/D22</f>
        <v>1</v>
      </c>
      <c r="E43" s="12">
        <f t="shared" si="113"/>
        <v>0.5636262602206874</v>
      </c>
      <c r="F43" s="12">
        <f t="shared" si="113"/>
        <v>0.59622521314656929</v>
      </c>
      <c r="G43" s="12">
        <f t="shared" si="113"/>
        <v>0.63817951959544883</v>
      </c>
      <c r="H43" s="12">
        <f t="shared" si="113"/>
        <v>0.67777170944838883</v>
      </c>
      <c r="I43" s="12">
        <f t="shared" si="113"/>
        <v>0.69131787330316741</v>
      </c>
      <c r="J43" s="12">
        <f t="shared" si="113"/>
        <v>0.67714414009878765</v>
      </c>
      <c r="K43" s="12">
        <f t="shared" si="113"/>
        <v>0.68810165575664228</v>
      </c>
      <c r="L43" s="12">
        <f t="shared" si="113"/>
        <v>0.69967320261437904</v>
      </c>
      <c r="M43" s="12">
        <f t="shared" si="113"/>
        <v>0.69546621043627033</v>
      </c>
      <c r="N43" s="12">
        <f t="shared" si="113"/>
        <v>0.70555701869897292</v>
      </c>
      <c r="O43" s="12">
        <f t="shared" ref="O43" si="114">O24/O22</f>
        <v>0.70103556956325974</v>
      </c>
      <c r="P43" s="12">
        <v>0.7</v>
      </c>
      <c r="Q43" s="12">
        <v>0.7</v>
      </c>
      <c r="R43" s="12">
        <v>0.7</v>
      </c>
      <c r="X43" s="12"/>
      <c r="Y43" s="12">
        <f t="shared" ref="Y43:AB43" si="115">Y24/Y22</f>
        <v>0.75061367069486407</v>
      </c>
      <c r="Z43" s="12">
        <f t="shared" si="115"/>
        <v>0.61291768019459736</v>
      </c>
      <c r="AA43" s="12">
        <f t="shared" si="115"/>
        <v>0.67311780850159131</v>
      </c>
      <c r="AB43" s="12">
        <f t="shared" si="115"/>
        <v>0.6979399737674562</v>
      </c>
      <c r="AC43" s="12">
        <f t="shared" ref="AC43" si="116">AC24/AC22</f>
        <v>0.70023166917641599</v>
      </c>
      <c r="AD43" s="12">
        <v>0.7</v>
      </c>
      <c r="AE43" s="12">
        <v>0.69</v>
      </c>
      <c r="AF43" s="12">
        <v>0.67</v>
      </c>
      <c r="AG43" s="12">
        <v>0.65</v>
      </c>
      <c r="AH43" s="12">
        <v>0.65</v>
      </c>
      <c r="AI43" s="12">
        <v>0.63</v>
      </c>
      <c r="AJ43" s="12">
        <v>0.62</v>
      </c>
      <c r="AK43" s="12">
        <v>0.6</v>
      </c>
      <c r="AL43" s="12">
        <v>0.6</v>
      </c>
    </row>
    <row r="44" spans="2:209" x14ac:dyDescent="0.45">
      <c r="B44" s="5" t="s">
        <v>132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>
        <v>0.25168000000000001</v>
      </c>
      <c r="Q44" s="12">
        <v>0.25168000000000001</v>
      </c>
      <c r="R44" s="12">
        <v>0.25168000000000001</v>
      </c>
      <c r="AC44" s="12">
        <f>AC37/AC36</f>
        <v>0.2019223947579441</v>
      </c>
      <c r="AD44" s="12">
        <f>AC44</f>
        <v>0.2019223947579441</v>
      </c>
      <c r="AE44" s="12">
        <f t="shared" ref="AE44:AL44" si="117">AD44</f>
        <v>0.2019223947579441</v>
      </c>
      <c r="AF44" s="12">
        <f t="shared" si="117"/>
        <v>0.2019223947579441</v>
      </c>
      <c r="AG44" s="12">
        <f t="shared" si="117"/>
        <v>0.2019223947579441</v>
      </c>
      <c r="AH44" s="12">
        <f t="shared" si="117"/>
        <v>0.2019223947579441</v>
      </c>
      <c r="AI44" s="12">
        <f t="shared" si="117"/>
        <v>0.2019223947579441</v>
      </c>
      <c r="AJ44" s="12">
        <f t="shared" si="117"/>
        <v>0.2019223947579441</v>
      </c>
      <c r="AK44" s="12">
        <f t="shared" si="117"/>
        <v>0.2019223947579441</v>
      </c>
      <c r="AL44" s="12">
        <f t="shared" si="117"/>
        <v>0.2019223947579441</v>
      </c>
    </row>
    <row r="45" spans="2:209" x14ac:dyDescent="0.45">
      <c r="B45" s="5" t="s">
        <v>142</v>
      </c>
      <c r="C45" s="12"/>
      <c r="D45" s="12"/>
      <c r="E45" s="12">
        <f>E25/E22</f>
        <v>0.13225371120107962</v>
      </c>
      <c r="F45" s="12">
        <f t="shared" ref="F45:N45" si="118">F25/F22</f>
        <v>0.14362856571432805</v>
      </c>
      <c r="G45" s="12">
        <f t="shared" si="118"/>
        <v>0.16498103666245259</v>
      </c>
      <c r="H45" s="12">
        <f t="shared" si="118"/>
        <v>0.18951392681594756</v>
      </c>
      <c r="I45" s="12">
        <f t="shared" si="118"/>
        <v>0.18509615384615385</v>
      </c>
      <c r="J45" s="12">
        <f t="shared" si="118"/>
        <v>0.19667714414009879</v>
      </c>
      <c r="K45" s="12">
        <f t="shared" si="118"/>
        <v>0.21447824412783981</v>
      </c>
      <c r="L45" s="12">
        <f t="shared" si="118"/>
        <v>0.22385620915032681</v>
      </c>
      <c r="M45" s="12">
        <f t="shared" si="118"/>
        <v>0.223267750213858</v>
      </c>
      <c r="N45" s="12">
        <f t="shared" si="118"/>
        <v>0.2270213326310245</v>
      </c>
      <c r="O45" s="12">
        <f t="shared" ref="O45" si="119">O25/O22</f>
        <v>0.25123818099954975</v>
      </c>
      <c r="P45" s="12">
        <v>0.23</v>
      </c>
      <c r="Q45" s="12">
        <v>0.23</v>
      </c>
      <c r="R45" s="12">
        <v>0.23</v>
      </c>
      <c r="Z45" s="12">
        <f>Z25/Z22</f>
        <v>0.11786796398241797</v>
      </c>
      <c r="AA45" s="12">
        <f t="shared" ref="AA45:AC45" si="120">AA25/AA22</f>
        <v>0.18531355899444654</v>
      </c>
      <c r="AB45" s="12">
        <f t="shared" si="120"/>
        <v>0.22274515855258081</v>
      </c>
      <c r="AC45" s="12">
        <f t="shared" si="120"/>
        <v>0.23475123263110712</v>
      </c>
      <c r="AD45" s="12">
        <v>0.23</v>
      </c>
      <c r="AE45" s="12">
        <v>0.23</v>
      </c>
      <c r="AF45" s="12">
        <v>0.23</v>
      </c>
      <c r="AG45" s="12">
        <v>0.23</v>
      </c>
      <c r="AH45" s="12">
        <v>0.23</v>
      </c>
      <c r="AI45" s="12">
        <v>0.23</v>
      </c>
      <c r="AJ45" s="12">
        <v>0.23</v>
      </c>
      <c r="AK45" s="12">
        <v>0.23</v>
      </c>
      <c r="AL45" s="12">
        <v>0.23</v>
      </c>
    </row>
    <row r="46" spans="2:209" x14ac:dyDescent="0.45">
      <c r="B46" s="5" t="s">
        <v>141</v>
      </c>
      <c r="C46" s="12"/>
      <c r="D46" s="12">
        <f>D27/C27-1</f>
        <v>8.5487586383414582E-2</v>
      </c>
      <c r="E46" s="12">
        <f t="shared" ref="E46:M46" si="121">E27/D27-1</f>
        <v>-2.9709974062721134E-2</v>
      </c>
      <c r="F46" s="12">
        <f t="shared" si="121"/>
        <v>-1.1421628189550392E-2</v>
      </c>
      <c r="G46" s="12">
        <f t="shared" si="121"/>
        <v>-0.14233038348082605</v>
      </c>
      <c r="H46" s="12">
        <f t="shared" si="121"/>
        <v>9.2003439380911489E-2</v>
      </c>
      <c r="I46" s="12">
        <f t="shared" si="121"/>
        <v>3.6745406824147064E-2</v>
      </c>
      <c r="J46" s="12">
        <f t="shared" si="121"/>
        <v>-0.13924050632911389</v>
      </c>
      <c r="K46" s="12">
        <f t="shared" si="121"/>
        <v>-5.8823529411764497E-3</v>
      </c>
      <c r="L46" s="12">
        <f t="shared" si="121"/>
        <v>0.23372781065088755</v>
      </c>
      <c r="M46" s="12">
        <f t="shared" si="121"/>
        <v>1.4388489208633004E-2</v>
      </c>
      <c r="N46" s="12">
        <f>N27/M27-1</f>
        <v>0.13711583924349879</v>
      </c>
      <c r="O46" s="12">
        <f>O27/N27-1</f>
        <v>9.9792099792099798E-2</v>
      </c>
      <c r="P46" s="12">
        <v>0</v>
      </c>
      <c r="Q46" s="12">
        <v>0</v>
      </c>
      <c r="R46" s="12">
        <v>0</v>
      </c>
      <c r="X46" s="12">
        <f>X27/W27-1</f>
        <v>0.32906868242404519</v>
      </c>
      <c r="Y46" s="12">
        <f t="shared" ref="Y46:AC46" si="122">Y27/X27-1</f>
        <v>0.1928954445178015</v>
      </c>
      <c r="Z46" s="12">
        <f t="shared" si="122"/>
        <v>1.2045086393088553</v>
      </c>
      <c r="AA46" s="12">
        <f t="shared" si="122"/>
        <v>-0.10293307207152036</v>
      </c>
      <c r="AB46" s="12">
        <f t="shared" si="122"/>
        <v>0.1324232081911263</v>
      </c>
      <c r="AC46" s="12">
        <f t="shared" si="122"/>
        <v>0.27546714888487034</v>
      </c>
      <c r="AD46" s="12">
        <v>0.1</v>
      </c>
      <c r="AE46" s="12">
        <v>0.1</v>
      </c>
      <c r="AF46" s="12">
        <v>0.1</v>
      </c>
      <c r="AG46" s="12">
        <v>0.1</v>
      </c>
      <c r="AH46" s="12">
        <v>0.1</v>
      </c>
      <c r="AI46" s="12">
        <v>0.09</v>
      </c>
      <c r="AJ46" s="12">
        <v>0.09</v>
      </c>
      <c r="AK46" s="12">
        <v>0.08</v>
      </c>
      <c r="AL46" s="12">
        <v>0.08</v>
      </c>
    </row>
    <row r="47" spans="2:209" x14ac:dyDescent="0.45">
      <c r="B47" s="5" t="s">
        <v>137</v>
      </c>
      <c r="C47" s="12"/>
      <c r="D47" s="12">
        <f>D28/C28-1</f>
        <v>-6.0606060606060552E-2</v>
      </c>
      <c r="E47" s="12">
        <f t="shared" ref="E47:M47" si="123">E28/D28-1</f>
        <v>0</v>
      </c>
      <c r="F47" s="12">
        <f t="shared" si="123"/>
        <v>-0.19354838709677424</v>
      </c>
      <c r="G47" s="12">
        <f t="shared" si="123"/>
        <v>0.96000000000000019</v>
      </c>
      <c r="H47" s="12">
        <f t="shared" si="123"/>
        <v>1.4489795918367343</v>
      </c>
      <c r="I47" s="12">
        <f t="shared" si="123"/>
        <v>0.34166666666666679</v>
      </c>
      <c r="J47" s="12">
        <f t="shared" si="123"/>
        <v>-6.8322981366459756E-2</v>
      </c>
      <c r="K47" s="12">
        <f t="shared" si="123"/>
        <v>0.19999999999999996</v>
      </c>
      <c r="L47" s="12">
        <f t="shared" si="123"/>
        <v>-0.11111111111111116</v>
      </c>
      <c r="M47" s="12">
        <f t="shared" si="123"/>
        <v>0.125</v>
      </c>
      <c r="N47" s="12">
        <f>N28/M28-1</f>
        <v>0.11111111111111116</v>
      </c>
      <c r="O47" s="12">
        <f>O28/N28-1</f>
        <v>0.25</v>
      </c>
      <c r="P47" s="12">
        <v>0.1</v>
      </c>
      <c r="Q47" s="12">
        <v>0.1</v>
      </c>
      <c r="R47" s="12">
        <v>0.1</v>
      </c>
      <c r="X47" s="12">
        <f>X28/W28-1</f>
        <v>-0.80982821981027264</v>
      </c>
      <c r="Y47" s="12">
        <f t="shared" ref="Y47:AC47" si="124">Y28/X28-1</f>
        <v>-9.2216429983821624E-2</v>
      </c>
      <c r="Z47" s="12">
        <f t="shared" si="124"/>
        <v>0.18811881188118806</v>
      </c>
      <c r="AA47" s="12">
        <f t="shared" si="124"/>
        <v>3.0583333333333336</v>
      </c>
      <c r="AB47" s="12">
        <f t="shared" si="124"/>
        <v>0.78644763860369604</v>
      </c>
      <c r="AC47" s="12">
        <f t="shared" si="124"/>
        <v>0.33362068965517255</v>
      </c>
      <c r="AD47" s="12">
        <v>0.15</v>
      </c>
      <c r="AE47" s="12">
        <v>0.12</v>
      </c>
      <c r="AF47" s="12">
        <v>0.1</v>
      </c>
      <c r="AG47" s="12">
        <v>0.1</v>
      </c>
      <c r="AH47" s="12">
        <v>7.0000000000000007E-2</v>
      </c>
      <c r="AI47" s="12">
        <v>0.05</v>
      </c>
      <c r="AJ47" s="12">
        <v>0.05</v>
      </c>
      <c r="AK47" s="12">
        <v>0.05</v>
      </c>
      <c r="AL47" s="12">
        <v>0.05</v>
      </c>
    </row>
    <row r="48" spans="2:209" x14ac:dyDescent="0.45">
      <c r="B48" s="5" t="s">
        <v>138</v>
      </c>
      <c r="C48" s="12">
        <f t="shared" ref="C48:N48" si="125">C29/C22</f>
        <v>3.8730089461051713E-2</v>
      </c>
      <c r="D48" s="12">
        <f t="shared" si="125"/>
        <v>3.3074935400516793E-2</v>
      </c>
      <c r="E48" s="12">
        <f t="shared" si="125"/>
        <v>3.0721600381043105E-2</v>
      </c>
      <c r="F48" s="12">
        <f t="shared" si="125"/>
        <v>2.7925719068747641E-2</v>
      </c>
      <c r="G48" s="12">
        <f t="shared" si="125"/>
        <v>2.629582806573957E-2</v>
      </c>
      <c r="H48" s="12">
        <f t="shared" si="125"/>
        <v>5.8438012015292189E-2</v>
      </c>
      <c r="I48" s="12">
        <f t="shared" si="125"/>
        <v>7.296380090497738E-2</v>
      </c>
      <c r="J48" s="12">
        <f t="shared" si="125"/>
        <v>6.0170633138751685E-2</v>
      </c>
      <c r="K48" s="12">
        <f t="shared" si="125"/>
        <v>5.0057758952637657E-2</v>
      </c>
      <c r="L48" s="12">
        <f t="shared" si="125"/>
        <v>4.1830065359477121E-2</v>
      </c>
      <c r="M48" s="12">
        <f t="shared" si="125"/>
        <v>3.6498431708012549E-2</v>
      </c>
      <c r="N48" s="12">
        <f t="shared" si="125"/>
        <v>3.6871214116407688E-2</v>
      </c>
      <c r="O48" s="12">
        <f t="shared" ref="O48" si="126">O29/O22</f>
        <v>3.3543448896893292E-2</v>
      </c>
      <c r="P48" s="12">
        <v>0.05</v>
      </c>
      <c r="Q48" s="12">
        <v>0.05</v>
      </c>
      <c r="R48" s="12">
        <v>0.05</v>
      </c>
      <c r="W48" s="12">
        <f>W29/W22</f>
        <v>1.8478473916445297E-2</v>
      </c>
      <c r="X48" s="12">
        <f t="shared" ref="X48:AC48" si="127">X29/X22</f>
        <v>2.9607846292481973E-2</v>
      </c>
      <c r="Y48" s="12">
        <f t="shared" si="127"/>
        <v>6.5001888217522646E-2</v>
      </c>
      <c r="Z48" s="12">
        <f t="shared" si="127"/>
        <v>3.2070157470234291E-2</v>
      </c>
      <c r="AA48" s="12">
        <f t="shared" si="127"/>
        <v>5.6295017330464249E-2</v>
      </c>
      <c r="AB48" s="12">
        <f t="shared" si="127"/>
        <v>4.0583288326518016E-2</v>
      </c>
      <c r="AC48" s="12">
        <f t="shared" si="127"/>
        <v>3.4674152267084341E-2</v>
      </c>
      <c r="AD48" s="12">
        <v>0.04</v>
      </c>
      <c r="AE48" s="12">
        <v>0.04</v>
      </c>
      <c r="AF48" s="12">
        <v>0.04</v>
      </c>
      <c r="AG48" s="12">
        <v>0.04</v>
      </c>
      <c r="AH48" s="12">
        <v>0.04</v>
      </c>
      <c r="AI48" s="12">
        <v>0.04</v>
      </c>
      <c r="AJ48" s="12">
        <v>0.04</v>
      </c>
      <c r="AK48" s="12">
        <v>0.04</v>
      </c>
      <c r="AL48" s="12">
        <v>0.04</v>
      </c>
    </row>
    <row r="49" spans="2:42" x14ac:dyDescent="0.45">
      <c r="B49" s="5" t="s">
        <v>139</v>
      </c>
      <c r="C49" s="12"/>
      <c r="D49" s="12"/>
      <c r="E49" s="12"/>
      <c r="F49" s="12">
        <f t="shared" ref="F49:M49" si="128">F30/E30-1</f>
        <v>4.2215336948102422E-2</v>
      </c>
      <c r="G49" s="12">
        <f t="shared" si="128"/>
        <v>3.1586770717205503E-2</v>
      </c>
      <c r="H49" s="12">
        <f t="shared" si="128"/>
        <v>8.0691642651296691E-2</v>
      </c>
      <c r="I49" s="12">
        <f t="shared" si="128"/>
        <v>0.15966666666666662</v>
      </c>
      <c r="J49" s="12">
        <f t="shared" si="128"/>
        <v>-0.13193446392641561</v>
      </c>
      <c r="K49" s="12">
        <f t="shared" si="128"/>
        <v>3.9735099337748325E-2</v>
      </c>
      <c r="L49" s="12">
        <f t="shared" si="128"/>
        <v>0.13057324840764339</v>
      </c>
      <c r="M49" s="12">
        <f t="shared" si="128"/>
        <v>5.3521126760563309E-2</v>
      </c>
      <c r="N49" s="12">
        <f>N30/M30-1</f>
        <v>4.0106951871657692E-2</v>
      </c>
      <c r="O49" s="12">
        <f>O30/N30-1</f>
        <v>1.799485861182526E-2</v>
      </c>
      <c r="P49" s="12">
        <v>0.05</v>
      </c>
      <c r="Q49" s="12">
        <v>0.05</v>
      </c>
      <c r="R49" s="12">
        <v>0.05</v>
      </c>
      <c r="Y49" s="12">
        <f>Y30/X30-1</f>
        <v>-0.60269453156622466</v>
      </c>
      <c r="Z49" s="12">
        <f t="shared" ref="Z49:AC49" si="129">Z30/Y30-1</f>
        <v>1.3084803642572567</v>
      </c>
      <c r="AA49" s="12">
        <f t="shared" si="129"/>
        <v>8.7113740959896546E-3</v>
      </c>
      <c r="AB49" s="12">
        <f t="shared" si="129"/>
        <v>0.16669382434414204</v>
      </c>
      <c r="AC49" s="12">
        <f t="shared" si="129"/>
        <v>0.19190607541899429</v>
      </c>
      <c r="AD49" s="12">
        <v>0.3</v>
      </c>
      <c r="AE49" s="12">
        <v>0.3</v>
      </c>
      <c r="AF49" s="12">
        <v>0.25</v>
      </c>
      <c r="AG49" s="12">
        <v>0.25</v>
      </c>
      <c r="AH49" s="12">
        <v>0.23</v>
      </c>
      <c r="AI49" s="12">
        <v>0.22</v>
      </c>
      <c r="AJ49" s="12">
        <v>0.2</v>
      </c>
      <c r="AK49" s="12">
        <v>0.2</v>
      </c>
      <c r="AL49" s="12">
        <v>0.2</v>
      </c>
    </row>
    <row r="50" spans="2:42" x14ac:dyDescent="0.45">
      <c r="B50" s="5" t="s">
        <v>140</v>
      </c>
      <c r="C50" s="12"/>
      <c r="D50" s="12"/>
      <c r="E50" s="12"/>
      <c r="F50" s="12">
        <f t="shared" ref="F50:M50" si="130">F31/E31-1</f>
        <v>0.11633011413520622</v>
      </c>
      <c r="G50" s="12">
        <f t="shared" si="130"/>
        <v>5.5839559575304731E-2</v>
      </c>
      <c r="H50" s="12">
        <f t="shared" si="130"/>
        <v>0.45251396648044695</v>
      </c>
      <c r="I50" s="12">
        <f t="shared" si="130"/>
        <v>0.3502564102564103</v>
      </c>
      <c r="J50" s="12">
        <f t="shared" si="130"/>
        <v>-8.6593239650588738E-2</v>
      </c>
      <c r="K50" s="12">
        <f t="shared" si="130"/>
        <v>-8.5239085239085188E-2</v>
      </c>
      <c r="L50" s="12">
        <f t="shared" si="130"/>
        <v>0.20454545454545459</v>
      </c>
      <c r="M50" s="12">
        <f t="shared" si="130"/>
        <v>0.1132075471698113</v>
      </c>
      <c r="N50" s="12">
        <f>N31/M31-1</f>
        <v>5.7627118644067776E-2</v>
      </c>
      <c r="O50" s="12">
        <f>O31/N31-1</f>
        <v>8.4935897435897356E-2</v>
      </c>
      <c r="P50" s="12">
        <v>0.1</v>
      </c>
      <c r="Q50" s="12">
        <v>0.1</v>
      </c>
      <c r="R50" s="12">
        <v>0.1</v>
      </c>
      <c r="Z50" s="12">
        <f>Z31/Y31-1</f>
        <v>0.80714738845421863</v>
      </c>
      <c r="AA50" s="12">
        <f t="shared" ref="AA50:AC50" si="131">AA31/Z31-1</f>
        <v>0.94851392464310846</v>
      </c>
      <c r="AB50" s="12">
        <f t="shared" si="131"/>
        <v>0.31155416766754729</v>
      </c>
      <c r="AC50" s="12">
        <f t="shared" si="131"/>
        <v>0.43862500000000004</v>
      </c>
      <c r="AD50" s="12">
        <v>0.3</v>
      </c>
      <c r="AE50" s="12">
        <v>0.3</v>
      </c>
      <c r="AF50" s="12">
        <v>0.2</v>
      </c>
      <c r="AG50" s="12">
        <v>0.2</v>
      </c>
      <c r="AH50" s="12">
        <v>0.2</v>
      </c>
      <c r="AI50" s="12">
        <v>0.15</v>
      </c>
      <c r="AJ50" s="12">
        <v>0.15</v>
      </c>
      <c r="AK50" s="12">
        <v>0.15</v>
      </c>
      <c r="AL50" s="12">
        <v>0.15</v>
      </c>
    </row>
    <row r="52" spans="2:42" x14ac:dyDescent="0.45">
      <c r="B52" s="5" t="s">
        <v>79</v>
      </c>
      <c r="O52" s="3">
        <f>O65-O71</f>
        <v>-414</v>
      </c>
      <c r="P52" s="3">
        <f>O52+P38</f>
        <v>-238.03292616000002</v>
      </c>
      <c r="Q52" s="3">
        <f>P52+Q38</f>
        <v>105.28020095999958</v>
      </c>
      <c r="R52" s="3">
        <f>Q52+R38</f>
        <v>522.33914159999938</v>
      </c>
      <c r="AB52" s="3">
        <f>N52</f>
        <v>0</v>
      </c>
      <c r="AC52" s="3">
        <f>R52</f>
        <v>522.33914159999938</v>
      </c>
      <c r="AD52" s="3">
        <f t="shared" ref="AD52:AL52" si="132">AC52+AD38</f>
        <v>5144.0395080298786</v>
      </c>
      <c r="AE52" s="3">
        <f t="shared" si="132"/>
        <v>13889.702196016346</v>
      </c>
      <c r="AF52" s="3">
        <f t="shared" si="132"/>
        <v>29928.217140110737</v>
      </c>
      <c r="AG52" s="3">
        <f t="shared" si="132"/>
        <v>51903.77322169322</v>
      </c>
      <c r="AH52" s="3">
        <f t="shared" si="132"/>
        <v>84152.150244387507</v>
      </c>
      <c r="AI52" s="3">
        <f t="shared" si="132"/>
        <v>130363.64965603477</v>
      </c>
      <c r="AJ52" s="3">
        <f t="shared" si="132"/>
        <v>194686.20467052524</v>
      </c>
      <c r="AK52" s="3">
        <f t="shared" si="132"/>
        <v>282261.50154923677</v>
      </c>
      <c r="AL52" s="3">
        <f t="shared" si="132"/>
        <v>398279.50594765402</v>
      </c>
    </row>
    <row r="53" spans="2:42" x14ac:dyDescent="0.45">
      <c r="B53" s="6" t="s">
        <v>55</v>
      </c>
      <c r="H53" s="3" t="s">
        <v>56</v>
      </c>
    </row>
    <row r="54" spans="2:42" x14ac:dyDescent="0.45">
      <c r="B54" s="5" t="s">
        <v>57</v>
      </c>
      <c r="N54" s="3">
        <v>287</v>
      </c>
      <c r="O54" s="3">
        <v>353</v>
      </c>
      <c r="AO54" s="3" t="s">
        <v>133</v>
      </c>
      <c r="AP54" s="12">
        <v>0.03</v>
      </c>
    </row>
    <row r="55" spans="2:42" x14ac:dyDescent="0.45">
      <c r="B55" s="5" t="s">
        <v>58</v>
      </c>
      <c r="N55" s="3">
        <v>18</v>
      </c>
      <c r="O55" s="3">
        <v>45</v>
      </c>
      <c r="AO55" s="3" t="s">
        <v>134</v>
      </c>
      <c r="AP55" s="12">
        <v>0.01</v>
      </c>
    </row>
    <row r="56" spans="2:42" x14ac:dyDescent="0.45">
      <c r="B56" s="5" t="s">
        <v>59</v>
      </c>
      <c r="N56" s="3">
        <v>690</v>
      </c>
      <c r="O56" s="3">
        <v>816</v>
      </c>
      <c r="AO56" s="3" t="s">
        <v>135</v>
      </c>
      <c r="AP56" s="12">
        <v>0.16</v>
      </c>
    </row>
    <row r="57" spans="2:42" x14ac:dyDescent="0.45">
      <c r="B57" s="5" t="s">
        <v>60</v>
      </c>
      <c r="N57" s="3">
        <v>4717</v>
      </c>
      <c r="O57" s="3">
        <v>4717</v>
      </c>
      <c r="AO57" s="3" t="s">
        <v>136</v>
      </c>
      <c r="AP57" s="3">
        <f>NPV(AP56,AC38:HA38)-Main!I8+Main!I7</f>
        <v>335876.39775552851</v>
      </c>
    </row>
    <row r="58" spans="2:42" x14ac:dyDescent="0.45">
      <c r="B58" s="5" t="s">
        <v>61</v>
      </c>
      <c r="N58" s="3">
        <v>754</v>
      </c>
      <c r="O58" s="3">
        <v>700</v>
      </c>
      <c r="AO58" s="3" t="s">
        <v>3</v>
      </c>
      <c r="AP58" s="15">
        <f>AP57/Main!I5</f>
        <v>386.06482500635462</v>
      </c>
    </row>
    <row r="59" spans="2:42" x14ac:dyDescent="0.45">
      <c r="B59" s="5" t="s">
        <v>62</v>
      </c>
      <c r="N59" s="3">
        <f>10365+1280</f>
        <v>11645</v>
      </c>
      <c r="O59" s="3">
        <f>10214+2283</f>
        <v>12497</v>
      </c>
      <c r="AO59" s="3" t="s">
        <v>143</v>
      </c>
      <c r="AP59" s="12">
        <f>AP58/Main!I4-1</f>
        <v>0.48469340078588874</v>
      </c>
    </row>
    <row r="60" spans="2:42" x14ac:dyDescent="0.45">
      <c r="B60" s="5" t="s">
        <v>63</v>
      </c>
      <c r="N60" s="3">
        <f>747+2324</f>
        <v>3071</v>
      </c>
      <c r="O60" s="3">
        <f>605+2141</f>
        <v>2746</v>
      </c>
    </row>
    <row r="61" spans="2:42" x14ac:dyDescent="0.45">
      <c r="B61" s="5" t="s">
        <v>64</v>
      </c>
      <c r="N61" s="3">
        <v>221</v>
      </c>
      <c r="O61" s="3">
        <v>230</v>
      </c>
    </row>
    <row r="62" spans="2:42" x14ac:dyDescent="0.45">
      <c r="B62" s="5" t="s">
        <v>65</v>
      </c>
      <c r="N62" s="3">
        <v>99</v>
      </c>
      <c r="O62" s="3">
        <v>97</v>
      </c>
      <c r="AO62" s="8"/>
    </row>
    <row r="63" spans="2:42" x14ac:dyDescent="0.45">
      <c r="B63" s="5" t="s">
        <v>81</v>
      </c>
      <c r="N63" s="3">
        <v>794</v>
      </c>
      <c r="O63" s="3">
        <v>1155</v>
      </c>
    </row>
    <row r="64" spans="2:42" x14ac:dyDescent="0.45">
      <c r="B64" s="5" t="s">
        <v>80</v>
      </c>
      <c r="N64" s="3">
        <v>88</v>
      </c>
      <c r="O64" s="3">
        <v>105</v>
      </c>
    </row>
    <row r="65" spans="2:15" x14ac:dyDescent="0.45">
      <c r="B65" s="5" t="s">
        <v>5</v>
      </c>
      <c r="N65" s="3">
        <f>309+422</f>
        <v>731</v>
      </c>
      <c r="O65" s="3">
        <f>249+223</f>
        <v>472</v>
      </c>
    </row>
    <row r="66" spans="2:15" x14ac:dyDescent="0.45">
      <c r="B66" s="5" t="s">
        <v>66</v>
      </c>
      <c r="N66" s="3">
        <v>0</v>
      </c>
      <c r="O66" s="3">
        <v>0</v>
      </c>
    </row>
    <row r="67" spans="2:15" x14ac:dyDescent="0.45">
      <c r="B67" s="5" t="s">
        <v>67</v>
      </c>
      <c r="N67" s="3">
        <v>241</v>
      </c>
      <c r="O67" s="3">
        <v>219</v>
      </c>
    </row>
    <row r="68" spans="2:15" x14ac:dyDescent="0.45">
      <c r="B68" s="6" t="s">
        <v>68</v>
      </c>
      <c r="N68" s="8">
        <f>SUM(N54:N67)</f>
        <v>23356</v>
      </c>
      <c r="O68" s="8">
        <f>SUM(O54:O67)</f>
        <v>24152</v>
      </c>
    </row>
    <row r="69" spans="2:15" x14ac:dyDescent="0.45">
      <c r="B69" s="5"/>
    </row>
    <row r="70" spans="2:15" x14ac:dyDescent="0.45">
      <c r="B70" s="5" t="s">
        <v>69</v>
      </c>
      <c r="N70" s="3">
        <v>0</v>
      </c>
      <c r="O70" s="3">
        <v>0</v>
      </c>
    </row>
    <row r="71" spans="2:15" x14ac:dyDescent="0.45">
      <c r="B71" s="5" t="s">
        <v>70</v>
      </c>
      <c r="N71" s="3">
        <f>588+161</f>
        <v>749</v>
      </c>
      <c r="O71" s="3">
        <f>185+701</f>
        <v>886</v>
      </c>
    </row>
    <row r="72" spans="2:15" x14ac:dyDescent="0.45">
      <c r="B72" s="5" t="s">
        <v>71</v>
      </c>
      <c r="N72" s="3">
        <f>3+644</f>
        <v>647</v>
      </c>
      <c r="O72" s="3">
        <f>3+707</f>
        <v>710</v>
      </c>
    </row>
    <row r="73" spans="2:15" x14ac:dyDescent="0.45">
      <c r="B73" s="5" t="s">
        <v>72</v>
      </c>
      <c r="N73" s="3">
        <f>88+29</f>
        <v>117</v>
      </c>
      <c r="O73" s="3">
        <f>86+33</f>
        <v>119</v>
      </c>
    </row>
    <row r="74" spans="2:15" x14ac:dyDescent="0.45">
      <c r="B74" s="5" t="s">
        <v>73</v>
      </c>
      <c r="N74" s="3">
        <v>188</v>
      </c>
      <c r="O74" s="3">
        <v>174</v>
      </c>
    </row>
    <row r="75" spans="2:15" x14ac:dyDescent="0.45">
      <c r="B75" s="5" t="s">
        <v>74</v>
      </c>
      <c r="N75" s="3">
        <f>15+871</f>
        <v>886</v>
      </c>
      <c r="O75" s="3">
        <f>15+1016</f>
        <v>1031</v>
      </c>
    </row>
    <row r="76" spans="2:15" x14ac:dyDescent="0.45">
      <c r="B76" s="5" t="s">
        <v>75</v>
      </c>
      <c r="N76" s="3">
        <v>363</v>
      </c>
      <c r="O76" s="3">
        <v>372</v>
      </c>
    </row>
    <row r="77" spans="2:15" x14ac:dyDescent="0.45">
      <c r="B77" s="5" t="s">
        <v>76</v>
      </c>
      <c r="N77" s="8">
        <f>SUM(N70:N76)</f>
        <v>2950</v>
      </c>
      <c r="O77" s="8">
        <f>SUM(O70:O76)</f>
        <v>3292</v>
      </c>
    </row>
    <row r="78" spans="2:15" x14ac:dyDescent="0.45">
      <c r="B78" s="5" t="s">
        <v>77</v>
      </c>
      <c r="N78" s="3">
        <v>20406</v>
      </c>
      <c r="O78" s="3">
        <v>20860</v>
      </c>
    </row>
    <row r="79" spans="2:15" x14ac:dyDescent="0.45">
      <c r="B79" s="6" t="s">
        <v>78</v>
      </c>
      <c r="N79" s="8">
        <f>N78+N77</f>
        <v>23356</v>
      </c>
      <c r="O79" s="8">
        <f>O78+O77</f>
        <v>24152</v>
      </c>
    </row>
    <row r="82" spans="2:15" x14ac:dyDescent="0.45">
      <c r="B82" s="5" t="s">
        <v>48</v>
      </c>
      <c r="C82" s="3">
        <f>C38</f>
        <v>-360.7</v>
      </c>
      <c r="D82" s="3">
        <f t="shared" ref="D82:N82" si="133">D38</f>
        <v>-434.90000000000003</v>
      </c>
      <c r="E82" s="3">
        <f t="shared" si="133"/>
        <v>-67.200000000000102</v>
      </c>
      <c r="F82" s="3">
        <f t="shared" si="133"/>
        <v>-359.69000000000017</v>
      </c>
      <c r="G82" s="3">
        <f t="shared" si="133"/>
        <v>-185.70000000000016</v>
      </c>
      <c r="H82" s="3">
        <f t="shared" si="133"/>
        <v>-251</v>
      </c>
      <c r="I82" s="3">
        <f t="shared" si="133"/>
        <v>-346.70000000000027</v>
      </c>
      <c r="J82" s="3">
        <f t="shared" si="133"/>
        <v>-188</v>
      </c>
      <c r="K82" s="3">
        <f t="shared" si="133"/>
        <v>2</v>
      </c>
      <c r="L82" s="3">
        <f t="shared" si="133"/>
        <v>36</v>
      </c>
      <c r="M82" s="3">
        <f t="shared" si="133"/>
        <v>138</v>
      </c>
      <c r="N82" s="3">
        <f t="shared" si="133"/>
        <v>175</v>
      </c>
      <c r="O82" s="3">
        <f>O38</f>
        <v>253</v>
      </c>
    </row>
    <row r="83" spans="2:15" x14ac:dyDescent="0.45">
      <c r="B83" s="5" t="s">
        <v>49</v>
      </c>
      <c r="C83" s="3">
        <v>-360.7</v>
      </c>
      <c r="D83" s="3">
        <v>-434.9</v>
      </c>
      <c r="E83" s="3">
        <v>-67.2</v>
      </c>
      <c r="F83" s="3">
        <v>-359.7</v>
      </c>
      <c r="G83" s="3">
        <v>-186</v>
      </c>
      <c r="H83" s="3">
        <v>-251</v>
      </c>
      <c r="I83" s="3">
        <v>-346.6</v>
      </c>
      <c r="J83" s="3">
        <v>-188</v>
      </c>
      <c r="K83" s="3">
        <v>2</v>
      </c>
      <c r="L83" s="3">
        <v>36</v>
      </c>
      <c r="M83" s="3">
        <v>138</v>
      </c>
      <c r="N83" s="3">
        <v>175</v>
      </c>
      <c r="O83" s="3">
        <v>253</v>
      </c>
    </row>
    <row r="84" spans="2:15" x14ac:dyDescent="0.45">
      <c r="B84" s="5"/>
    </row>
    <row r="85" spans="2:15" x14ac:dyDescent="0.45">
      <c r="B85" s="6" t="s">
        <v>82</v>
      </c>
    </row>
    <row r="86" spans="2:15" x14ac:dyDescent="0.45">
      <c r="B86" s="5" t="s">
        <v>29</v>
      </c>
      <c r="C86" s="3">
        <f>C83+C37</f>
        <v>-359</v>
      </c>
      <c r="D86" s="3">
        <f t="shared" ref="D86:N86" si="134">D83+D37</f>
        <v>-434.9</v>
      </c>
      <c r="E86" s="3">
        <f t="shared" si="134"/>
        <v>-67.2</v>
      </c>
      <c r="F86" s="3">
        <f t="shared" si="134"/>
        <v>-359.4</v>
      </c>
      <c r="G86" s="3">
        <f t="shared" si="134"/>
        <v>-186</v>
      </c>
      <c r="H86" s="3">
        <f t="shared" si="134"/>
        <v>-261</v>
      </c>
      <c r="I86" s="3">
        <f t="shared" si="134"/>
        <v>-363.6</v>
      </c>
      <c r="J86" s="3">
        <f t="shared" si="134"/>
        <v>-204</v>
      </c>
      <c r="K86" s="3">
        <f t="shared" si="134"/>
        <v>-15</v>
      </c>
      <c r="L86" s="3">
        <f t="shared" si="134"/>
        <v>21</v>
      </c>
      <c r="M86" s="3">
        <f t="shared" si="134"/>
        <v>124</v>
      </c>
      <c r="N86" s="3">
        <f t="shared" si="134"/>
        <v>161</v>
      </c>
      <c r="O86" s="3">
        <f>O83+O37</f>
        <v>239</v>
      </c>
    </row>
    <row r="87" spans="2:15" x14ac:dyDescent="0.45">
      <c r="B87" s="5" t="s">
        <v>83</v>
      </c>
      <c r="H87" s="3">
        <v>42</v>
      </c>
      <c r="J87" s="3">
        <v>61</v>
      </c>
      <c r="K87" s="3">
        <v>62</v>
      </c>
      <c r="L87" s="3">
        <v>67</v>
      </c>
      <c r="M87" s="3">
        <f>71</f>
        <v>71</v>
      </c>
      <c r="N87" s="3">
        <v>84</v>
      </c>
      <c r="O87" s="3">
        <v>93</v>
      </c>
    </row>
    <row r="88" spans="2:15" x14ac:dyDescent="0.45">
      <c r="B88" s="5" t="s">
        <v>84</v>
      </c>
      <c r="H88" s="3">
        <f>64+5</f>
        <v>69</v>
      </c>
      <c r="J88" s="3">
        <f>73</f>
        <v>73</v>
      </c>
      <c r="K88" s="3">
        <f>68-1+1</f>
        <v>68</v>
      </c>
      <c r="L88" s="3">
        <f>61-9+1</f>
        <v>53</v>
      </c>
      <c r="M88" s="3">
        <f>57-12-1</f>
        <v>44</v>
      </c>
      <c r="N88" s="3">
        <f>56+-19-1</f>
        <v>36</v>
      </c>
      <c r="O88" s="3">
        <f>56-21</f>
        <v>35</v>
      </c>
    </row>
    <row r="89" spans="2:15" x14ac:dyDescent="0.45">
      <c r="B89" s="5" t="s">
        <v>85</v>
      </c>
      <c r="H89" s="3">
        <f>-6+8</f>
        <v>2</v>
      </c>
      <c r="J89" s="3">
        <f>-11+14+1-5</f>
        <v>-1</v>
      </c>
      <c r="K89" s="3">
        <f>-1+6-3</f>
        <v>2</v>
      </c>
      <c r="L89" s="3">
        <f>-2+31-3</f>
        <v>26</v>
      </c>
      <c r="M89" s="3">
        <f>-1+20-1</f>
        <v>18</v>
      </c>
      <c r="N89" s="3">
        <f>+-5+11+1-3</f>
        <v>4</v>
      </c>
      <c r="O89" s="3">
        <f>16-2</f>
        <v>14</v>
      </c>
    </row>
    <row r="90" spans="2:15" x14ac:dyDescent="0.45">
      <c r="B90" s="5" t="s">
        <v>86</v>
      </c>
      <c r="H90" s="3">
        <v>137</v>
      </c>
      <c r="J90" s="3">
        <v>84</v>
      </c>
      <c r="K90" s="3">
        <v>99</v>
      </c>
      <c r="L90" s="3">
        <v>132</v>
      </c>
      <c r="M90" s="3">
        <v>122</v>
      </c>
      <c r="N90" s="3">
        <v>161</v>
      </c>
      <c r="O90" s="3">
        <v>185</v>
      </c>
    </row>
    <row r="91" spans="2:15" x14ac:dyDescent="0.45">
      <c r="B91" s="5" t="s">
        <v>57</v>
      </c>
      <c r="H91" s="3">
        <v>0</v>
      </c>
      <c r="J91" s="3">
        <v>-1</v>
      </c>
      <c r="K91" s="3">
        <v>0</v>
      </c>
      <c r="L91" s="3">
        <v>-1</v>
      </c>
      <c r="M91" s="3">
        <v>0</v>
      </c>
      <c r="N91" s="3">
        <v>2</v>
      </c>
      <c r="O91" s="3">
        <v>2</v>
      </c>
    </row>
    <row r="92" spans="2:15" x14ac:dyDescent="0.45">
      <c r="B92" s="5" t="s">
        <v>87</v>
      </c>
      <c r="H92" s="3">
        <f>-18-19-118</f>
        <v>-155</v>
      </c>
      <c r="J92" s="3">
        <f>-14-38</f>
        <v>-52</v>
      </c>
      <c r="K92" s="3">
        <f>-41-27-36-69</f>
        <v>-173</v>
      </c>
      <c r="L92" s="3">
        <f>-24-31-87-56</f>
        <v>-198</v>
      </c>
      <c r="M92" s="3">
        <f>-30-27-92</f>
        <v>-149</v>
      </c>
      <c r="N92" s="3">
        <f>+-33-22-105</f>
        <v>-160</v>
      </c>
      <c r="O92" s="3">
        <v>-31</v>
      </c>
    </row>
    <row r="93" spans="2:15" x14ac:dyDescent="0.45">
      <c r="B93" s="5" t="s">
        <v>88</v>
      </c>
      <c r="H93" s="3">
        <f>1+10</f>
        <v>11</v>
      </c>
      <c r="J93" s="3">
        <f>2+14-98-3+1</f>
        <v>-84</v>
      </c>
      <c r="K93" s="3">
        <f>2+15</f>
        <v>17</v>
      </c>
      <c r="L93" s="3">
        <v>16</v>
      </c>
      <c r="M93" s="3">
        <f>16-49-2</f>
        <v>-35</v>
      </c>
      <c r="N93" s="3">
        <f>20-46-1</f>
        <v>-27</v>
      </c>
      <c r="O93" s="3">
        <f>-109-21-45+24-4</f>
        <v>-155</v>
      </c>
    </row>
    <row r="94" spans="2:15" x14ac:dyDescent="0.45">
      <c r="B94" s="5" t="s">
        <v>89</v>
      </c>
      <c r="H94" s="3">
        <f>-83+8-23-35-12+11-21</f>
        <v>-155</v>
      </c>
      <c r="J94" s="3">
        <f>-48+50+56+2-77-164</f>
        <v>-181</v>
      </c>
      <c r="K94" s="3">
        <f>-19-2+9+5+36-17+14</f>
        <v>26</v>
      </c>
      <c r="L94" s="3">
        <f>-86-61+57-11+129+2+93</f>
        <v>123</v>
      </c>
      <c r="M94" s="3">
        <f>-125-181+15-1+238+7+82</f>
        <v>35</v>
      </c>
      <c r="N94" s="3">
        <f>-118-49+52+2+16+8+22</f>
        <v>-67</v>
      </c>
      <c r="O94" s="3">
        <f>-366-48+33-17+75+1+145</f>
        <v>-177</v>
      </c>
    </row>
    <row r="95" spans="2:15" x14ac:dyDescent="0.45">
      <c r="B95" s="5" t="s">
        <v>90</v>
      </c>
      <c r="H95" s="3">
        <v>-22</v>
      </c>
      <c r="J95" s="3">
        <v>4</v>
      </c>
      <c r="K95" s="3">
        <v>-17</v>
      </c>
      <c r="L95" s="3">
        <v>-20</v>
      </c>
      <c r="M95" s="3">
        <v>-48</v>
      </c>
      <c r="N95" s="3">
        <v>-20</v>
      </c>
      <c r="O95" s="3">
        <v>-5</v>
      </c>
    </row>
    <row r="96" spans="2:15" x14ac:dyDescent="0.45">
      <c r="B96" s="5" t="s">
        <v>91</v>
      </c>
      <c r="C96" s="8">
        <f t="shared" ref="C96:M96" si="135">SUM(C86:C95)</f>
        <v>-359</v>
      </c>
      <c r="D96" s="8">
        <f t="shared" si="135"/>
        <v>-434.9</v>
      </c>
      <c r="E96" s="8">
        <f t="shared" si="135"/>
        <v>-67.2</v>
      </c>
      <c r="F96" s="8">
        <f t="shared" si="135"/>
        <v>-359.4</v>
      </c>
      <c r="G96" s="8">
        <f t="shared" si="135"/>
        <v>-186</v>
      </c>
      <c r="H96" s="8">
        <f t="shared" si="135"/>
        <v>-332</v>
      </c>
      <c r="I96" s="8">
        <f t="shared" si="135"/>
        <v>-363.6</v>
      </c>
      <c r="J96" s="8">
        <f t="shared" si="135"/>
        <v>-301</v>
      </c>
      <c r="K96" s="8">
        <f t="shared" si="135"/>
        <v>69</v>
      </c>
      <c r="L96" s="8">
        <f t="shared" si="135"/>
        <v>219</v>
      </c>
      <c r="M96" s="8">
        <f t="shared" si="135"/>
        <v>182</v>
      </c>
      <c r="N96" s="8">
        <f>SUM(N86:N95)</f>
        <v>174</v>
      </c>
      <c r="O96" s="8">
        <f>SUM(O86:O95)</f>
        <v>200</v>
      </c>
    </row>
    <row r="98" spans="2:15" x14ac:dyDescent="0.45">
      <c r="B98" s="5" t="s">
        <v>92</v>
      </c>
      <c r="H98" s="3">
        <v>-31</v>
      </c>
      <c r="J98" s="3">
        <f>-26+2</f>
        <v>-24</v>
      </c>
      <c r="K98" s="3">
        <f>-29+5</f>
        <v>-24</v>
      </c>
      <c r="L98" s="3">
        <f>-38+3</f>
        <v>-35</v>
      </c>
      <c r="M98" s="3">
        <f>-61+1</f>
        <v>-60</v>
      </c>
      <c r="N98" s="3">
        <f>-87+4</f>
        <v>-83</v>
      </c>
      <c r="O98" s="3">
        <f>-146+2</f>
        <v>-144</v>
      </c>
    </row>
    <row r="99" spans="2:15" x14ac:dyDescent="0.45">
      <c r="B99" s="5" t="s">
        <v>62</v>
      </c>
      <c r="H99" s="3">
        <f>-2802+3368+1683-2120+7</f>
        <v>136</v>
      </c>
      <c r="J99" s="3">
        <f>-1119+3067+7323-9411-42-50</f>
        <v>-232</v>
      </c>
      <c r="K99" s="3">
        <f>-1165+4661+10079-7927-1510+50-4456</f>
        <v>-268</v>
      </c>
      <c r="L99" s="3">
        <f>-169+291+4901-4993-102</f>
        <v>-72</v>
      </c>
      <c r="M99" s="3">
        <f>-158+678+6723-7139+2-375+735-779</f>
        <v>-313</v>
      </c>
      <c r="N99" s="3">
        <f>-452+308+7806-6951-535+150-435</f>
        <v>-109</v>
      </c>
      <c r="O99" s="3">
        <f>-130+612+6840-7651+25</f>
        <v>-304</v>
      </c>
    </row>
    <row r="100" spans="2:15" x14ac:dyDescent="0.45">
      <c r="B100" s="5" t="s">
        <v>93</v>
      </c>
      <c r="H100" s="3">
        <v>-61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</row>
    <row r="101" spans="2:15" x14ac:dyDescent="0.45">
      <c r="B101" s="5" t="s">
        <v>17</v>
      </c>
      <c r="H101" s="3">
        <v>111</v>
      </c>
      <c r="J101" s="3">
        <v>247</v>
      </c>
      <c r="K101" s="3">
        <v>329</v>
      </c>
      <c r="L101" s="3">
        <v>37</v>
      </c>
      <c r="M101" s="3">
        <v>136</v>
      </c>
      <c r="N101" s="3">
        <f>116</f>
        <v>116</v>
      </c>
      <c r="O101" s="3">
        <v>255</v>
      </c>
    </row>
    <row r="102" spans="2:15" x14ac:dyDescent="0.45">
      <c r="B102" s="5" t="s">
        <v>94</v>
      </c>
      <c r="C102" s="8">
        <f t="shared" ref="C102:M102" si="136">SUM(C98:C101)</f>
        <v>0</v>
      </c>
      <c r="D102" s="8">
        <f t="shared" si="136"/>
        <v>0</v>
      </c>
      <c r="E102" s="8">
        <f t="shared" si="136"/>
        <v>0</v>
      </c>
      <c r="F102" s="8">
        <f t="shared" si="136"/>
        <v>0</v>
      </c>
      <c r="G102" s="8">
        <f t="shared" si="136"/>
        <v>0</v>
      </c>
      <c r="H102" s="8">
        <f t="shared" si="136"/>
        <v>155</v>
      </c>
      <c r="I102" s="8">
        <f t="shared" si="136"/>
        <v>0</v>
      </c>
      <c r="J102" s="8">
        <f t="shared" si="136"/>
        <v>-9</v>
      </c>
      <c r="K102" s="8">
        <f t="shared" si="136"/>
        <v>37</v>
      </c>
      <c r="L102" s="8">
        <f t="shared" si="136"/>
        <v>-70</v>
      </c>
      <c r="M102" s="8">
        <f t="shared" si="136"/>
        <v>-237</v>
      </c>
      <c r="N102" s="8">
        <f>SUM(N98:N101)</f>
        <v>-76</v>
      </c>
      <c r="O102" s="8">
        <f>SUM(O98:O101)</f>
        <v>-193</v>
      </c>
    </row>
    <row r="104" spans="2:15" x14ac:dyDescent="0.45">
      <c r="B104" s="5" t="s">
        <v>95</v>
      </c>
      <c r="H104" s="3">
        <v>6</v>
      </c>
      <c r="J104" s="3">
        <v>0</v>
      </c>
      <c r="K104" s="3">
        <v>2</v>
      </c>
      <c r="L104" s="3">
        <v>2</v>
      </c>
      <c r="M104" s="3">
        <v>10</v>
      </c>
      <c r="N104" s="3">
        <v>9</v>
      </c>
      <c r="O104" s="3">
        <v>0</v>
      </c>
    </row>
    <row r="105" spans="2:15" x14ac:dyDescent="0.45">
      <c r="B105" s="5" t="s">
        <v>97</v>
      </c>
      <c r="H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</row>
    <row r="106" spans="2:15" x14ac:dyDescent="0.45">
      <c r="B106" s="5" t="s">
        <v>96</v>
      </c>
      <c r="H106" s="3">
        <v>-3</v>
      </c>
      <c r="J106" s="3">
        <v>-8</v>
      </c>
      <c r="K106" s="3">
        <v>-40</v>
      </c>
      <c r="L106" s="3">
        <v>0</v>
      </c>
      <c r="M106" s="3">
        <v>0</v>
      </c>
      <c r="N106" s="3">
        <v>0</v>
      </c>
      <c r="O106" s="3">
        <v>0</v>
      </c>
    </row>
    <row r="107" spans="2:15" x14ac:dyDescent="0.45">
      <c r="B107" s="5" t="s">
        <v>98</v>
      </c>
      <c r="H107" s="3">
        <v>0</v>
      </c>
      <c r="J107" s="3">
        <v>0</v>
      </c>
      <c r="K107" s="3">
        <v>0</v>
      </c>
      <c r="L107" s="3">
        <v>6</v>
      </c>
      <c r="M107" s="3">
        <f>2</f>
        <v>2</v>
      </c>
      <c r="N107" s="3">
        <f>1</f>
        <v>1</v>
      </c>
      <c r="O107" s="3">
        <v>2</v>
      </c>
    </row>
    <row r="108" spans="2:15" x14ac:dyDescent="0.45">
      <c r="B108" s="5" t="s">
        <v>99</v>
      </c>
      <c r="H108" s="3">
        <f>-17-10</f>
        <v>-27</v>
      </c>
      <c r="J108" s="3">
        <f>-23-14</f>
        <v>-37</v>
      </c>
      <c r="K108" s="3">
        <f>-28-15</f>
        <v>-43</v>
      </c>
      <c r="L108" s="3">
        <f>-29-16</f>
        <v>-45</v>
      </c>
      <c r="M108" s="3">
        <f>0-34-16</f>
        <v>-50</v>
      </c>
      <c r="N108" s="3">
        <f>-38-20</f>
        <v>-58</v>
      </c>
      <c r="O108" s="3">
        <f>-45-24</f>
        <v>-69</v>
      </c>
    </row>
    <row r="109" spans="2:15" x14ac:dyDescent="0.45">
      <c r="B109" s="5" t="s">
        <v>88</v>
      </c>
      <c r="H109" s="3">
        <v>-5</v>
      </c>
      <c r="J109" s="3">
        <v>-1</v>
      </c>
      <c r="K109" s="3">
        <v>-2</v>
      </c>
      <c r="L109" s="3">
        <v>0</v>
      </c>
      <c r="M109" s="3">
        <v>0</v>
      </c>
      <c r="N109" s="3">
        <v>0</v>
      </c>
      <c r="O109" s="3">
        <v>0</v>
      </c>
    </row>
    <row r="110" spans="2:15" x14ac:dyDescent="0.45">
      <c r="B110" s="5" t="s">
        <v>100</v>
      </c>
      <c r="C110" s="3">
        <f t="shared" ref="C110:M110" si="137">SUM(C104:C109)</f>
        <v>0</v>
      </c>
      <c r="D110" s="3">
        <f t="shared" si="137"/>
        <v>0</v>
      </c>
      <c r="E110" s="3">
        <f t="shared" si="137"/>
        <v>0</v>
      </c>
      <c r="F110" s="3">
        <f t="shared" si="137"/>
        <v>0</v>
      </c>
      <c r="G110" s="3">
        <f t="shared" si="137"/>
        <v>0</v>
      </c>
      <c r="H110" s="3">
        <f t="shared" si="137"/>
        <v>-29</v>
      </c>
      <c r="I110" s="3">
        <f t="shared" si="137"/>
        <v>0</v>
      </c>
      <c r="J110" s="3">
        <f t="shared" si="137"/>
        <v>-46</v>
      </c>
      <c r="K110" s="3">
        <f t="shared" si="137"/>
        <v>-83</v>
      </c>
      <c r="L110" s="3">
        <f t="shared" si="137"/>
        <v>-37</v>
      </c>
      <c r="M110" s="3">
        <f t="shared" si="137"/>
        <v>-38</v>
      </c>
      <c r="N110" s="3">
        <f>SUM(N104:N109)</f>
        <v>-48</v>
      </c>
      <c r="O110" s="3">
        <f>SUM(O104:O109)</f>
        <v>-67</v>
      </c>
    </row>
    <row r="111" spans="2:15" x14ac:dyDescent="0.45">
      <c r="B111" s="5" t="s">
        <v>101</v>
      </c>
      <c r="J111" s="3">
        <v>-6</v>
      </c>
      <c r="K111" s="3">
        <v>-1</v>
      </c>
      <c r="L111" s="3">
        <v>1</v>
      </c>
      <c r="M111" s="3">
        <v>-1</v>
      </c>
      <c r="N111" s="3">
        <v>0</v>
      </c>
      <c r="O111" s="3">
        <v>0</v>
      </c>
    </row>
    <row r="112" spans="2:15" x14ac:dyDescent="0.45">
      <c r="B112" s="5" t="s">
        <v>102</v>
      </c>
      <c r="C112" s="8"/>
      <c r="D112" s="8"/>
      <c r="E112" s="8"/>
      <c r="F112" s="8"/>
      <c r="G112" s="8"/>
      <c r="H112" s="8">
        <f t="shared" ref="H112:M112" si="138">H111+H110+H102+H96</f>
        <v>-206</v>
      </c>
      <c r="I112" s="8"/>
      <c r="J112" s="8">
        <f t="shared" si="138"/>
        <v>-362</v>
      </c>
      <c r="K112" s="8">
        <f t="shared" si="138"/>
        <v>22</v>
      </c>
      <c r="L112" s="8">
        <f t="shared" si="138"/>
        <v>113</v>
      </c>
      <c r="M112" s="8">
        <f t="shared" si="138"/>
        <v>-94</v>
      </c>
      <c r="N112" s="8">
        <f>N111+N110+N102+N96</f>
        <v>50</v>
      </c>
      <c r="O112" s="8">
        <f>O111+O110+O102+O96</f>
        <v>-60</v>
      </c>
    </row>
    <row r="114" spans="2:15" x14ac:dyDescent="0.45">
      <c r="B114" s="5" t="s">
        <v>103</v>
      </c>
      <c r="C114" s="8"/>
      <c r="D114" s="8"/>
      <c r="E114" s="8"/>
      <c r="F114" s="8"/>
      <c r="G114" s="8"/>
      <c r="H114" s="8">
        <f>H96+H98+H100</f>
        <v>-424</v>
      </c>
      <c r="I114" s="8"/>
      <c r="J114" s="8">
        <f>J96+J98</f>
        <v>-325</v>
      </c>
      <c r="K114" s="8">
        <f t="shared" ref="K114:O114" si="139">K96+K98</f>
        <v>45</v>
      </c>
      <c r="L114" s="8">
        <f t="shared" si="139"/>
        <v>184</v>
      </c>
      <c r="M114" s="8">
        <f t="shared" si="139"/>
        <v>122</v>
      </c>
      <c r="N114" s="8">
        <f t="shared" si="139"/>
        <v>91</v>
      </c>
      <c r="O114" s="8">
        <f t="shared" si="139"/>
        <v>56</v>
      </c>
    </row>
  </sheetData>
  <conditionalFormatting sqref="AP5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Z6:AB10 Z12:AB14 AC10 AC13" formulaRange="1"/>
    <ignoredError sqref="Z11:AB11" formula="1" formulaRange="1"/>
    <ignoredError sqref="AC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Rangwala</dc:creator>
  <cp:lastModifiedBy>Sameer Rangwala</cp:lastModifiedBy>
  <cp:lastPrinted>2024-08-21T16:49:28Z</cp:lastPrinted>
  <dcterms:created xsi:type="dcterms:W3CDTF">2024-06-04T10:48:54Z</dcterms:created>
  <dcterms:modified xsi:type="dcterms:W3CDTF">2024-08-22T11:58:36Z</dcterms:modified>
</cp:coreProperties>
</file>