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amchsia/Desktop/"/>
    </mc:Choice>
  </mc:AlternateContent>
  <xr:revisionPtr revIDLastSave="0" documentId="13_ncr:1_{4D52E9B2-06ED-424B-8E1B-42A70558CC41}" xr6:coauthVersionLast="47" xr6:coauthVersionMax="47" xr10:uidLastSave="{00000000-0000-0000-0000-000000000000}"/>
  <bookViews>
    <workbookView xWindow="0" yWindow="760" windowWidth="34560" windowHeight="19060" xr2:uid="{00000000-000D-0000-FFFF-FFFF00000000}"/>
  </bookViews>
  <sheets>
    <sheet name="Main Results" sheetId="1" r:id="rId1"/>
    <sheet name="DLRM-A Trai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5" i="1" l="1"/>
  <c r="K135" i="1"/>
  <c r="G135" i="1"/>
  <c r="H135" i="1" s="1"/>
  <c r="F135" i="1"/>
  <c r="E135" i="1"/>
  <c r="L134" i="1"/>
  <c r="K134" i="1"/>
  <c r="I134" i="1"/>
  <c r="G134" i="1"/>
  <c r="H134" i="1" s="1"/>
  <c r="F134" i="1"/>
  <c r="E134" i="1"/>
  <c r="K133" i="1"/>
  <c r="L133" i="1" s="1"/>
  <c r="I133" i="1"/>
  <c r="G133" i="1"/>
  <c r="H133" i="1" s="1"/>
  <c r="F133" i="1"/>
  <c r="E133" i="1"/>
  <c r="K132" i="1"/>
  <c r="L132" i="1" s="1"/>
  <c r="G132" i="1"/>
  <c r="H132" i="1" s="1"/>
  <c r="J132" i="1" s="1"/>
  <c r="F132" i="1"/>
  <c r="E132" i="1"/>
  <c r="K131" i="1"/>
  <c r="L131" i="1" s="1"/>
  <c r="G131" i="1"/>
  <c r="H131" i="1" s="1"/>
  <c r="F131" i="1"/>
  <c r="E131" i="1"/>
  <c r="K130" i="1"/>
  <c r="L130" i="1" s="1"/>
  <c r="G130" i="1"/>
  <c r="H130" i="1" s="1"/>
  <c r="F130" i="1"/>
  <c r="E130" i="1"/>
  <c r="L129" i="1"/>
  <c r="K129" i="1"/>
  <c r="G129" i="1"/>
  <c r="H129" i="1" s="1"/>
  <c r="F129" i="1"/>
  <c r="E129" i="1"/>
  <c r="K128" i="1"/>
  <c r="L128" i="1" s="1"/>
  <c r="J128" i="1"/>
  <c r="G128" i="1"/>
  <c r="H128" i="1" s="1"/>
  <c r="F128" i="1"/>
  <c r="E128" i="1"/>
  <c r="K127" i="1"/>
  <c r="L127" i="1" s="1"/>
  <c r="G127" i="1"/>
  <c r="H127" i="1" s="1"/>
  <c r="F127" i="1"/>
  <c r="E127" i="1"/>
  <c r="K126" i="1"/>
  <c r="L126" i="1" s="1"/>
  <c r="G126" i="1"/>
  <c r="H126" i="1" s="1"/>
  <c r="J126" i="1" s="1"/>
  <c r="F126" i="1"/>
  <c r="E126" i="1"/>
  <c r="K125" i="1"/>
  <c r="L125" i="1" s="1"/>
  <c r="G125" i="1"/>
  <c r="H125" i="1" s="1"/>
  <c r="J125" i="1" s="1"/>
  <c r="F125" i="1"/>
  <c r="E125" i="1"/>
  <c r="L124" i="1"/>
  <c r="K124" i="1"/>
  <c r="I124" i="1"/>
  <c r="G124" i="1"/>
  <c r="H124" i="1" s="1"/>
  <c r="F124" i="1"/>
  <c r="E124" i="1"/>
  <c r="K123" i="1"/>
  <c r="L123" i="1" s="1"/>
  <c r="G123" i="1"/>
  <c r="H123" i="1" s="1"/>
  <c r="F123" i="1"/>
  <c r="E123" i="1"/>
  <c r="K122" i="1"/>
  <c r="L122" i="1" s="1"/>
  <c r="G122" i="1"/>
  <c r="H122" i="1" s="1"/>
  <c r="J122" i="1" s="1"/>
  <c r="F122" i="1"/>
  <c r="E122" i="1"/>
  <c r="K121" i="1"/>
  <c r="L121" i="1" s="1"/>
  <c r="G121" i="1"/>
  <c r="H121" i="1" s="1"/>
  <c r="J121" i="1" s="1"/>
  <c r="F121" i="1"/>
  <c r="E121" i="1"/>
  <c r="K120" i="1"/>
  <c r="L120" i="1" s="1"/>
  <c r="G120" i="1"/>
  <c r="H120" i="1" s="1"/>
  <c r="F120" i="1"/>
  <c r="E120" i="1"/>
  <c r="L119" i="1"/>
  <c r="K119" i="1"/>
  <c r="I119" i="1"/>
  <c r="G119" i="1"/>
  <c r="H119" i="1" s="1"/>
  <c r="F119" i="1"/>
  <c r="E119" i="1"/>
  <c r="K118" i="1"/>
  <c r="L118" i="1" s="1"/>
  <c r="I118" i="1"/>
  <c r="G118" i="1"/>
  <c r="H118" i="1" s="1"/>
  <c r="F118" i="1"/>
  <c r="E118" i="1"/>
  <c r="K117" i="1"/>
  <c r="L117" i="1" s="1"/>
  <c r="G117" i="1"/>
  <c r="H117" i="1" s="1"/>
  <c r="J117" i="1" s="1"/>
  <c r="F117" i="1"/>
  <c r="E117" i="1"/>
  <c r="K116" i="1"/>
  <c r="L116" i="1" s="1"/>
  <c r="G116" i="1"/>
  <c r="H116" i="1" s="1"/>
  <c r="F116" i="1"/>
  <c r="E116" i="1"/>
  <c r="K115" i="1"/>
  <c r="L115" i="1" s="1"/>
  <c r="G115" i="1"/>
  <c r="H115" i="1" s="1"/>
  <c r="F115" i="1"/>
  <c r="E115" i="1"/>
  <c r="L114" i="1"/>
  <c r="N114" i="1" s="1"/>
  <c r="K114" i="1"/>
  <c r="J114" i="1"/>
  <c r="G114" i="1"/>
  <c r="H114" i="1" s="1"/>
  <c r="F114" i="1"/>
  <c r="E114" i="1"/>
  <c r="K113" i="1"/>
  <c r="L113" i="1" s="1"/>
  <c r="I113" i="1"/>
  <c r="G113" i="1"/>
  <c r="H113" i="1" s="1"/>
  <c r="F113" i="1"/>
  <c r="E113" i="1"/>
  <c r="K112" i="1"/>
  <c r="L112" i="1" s="1"/>
  <c r="G112" i="1"/>
  <c r="H112" i="1" s="1"/>
  <c r="J112" i="1" s="1"/>
  <c r="F112" i="1"/>
  <c r="E112" i="1"/>
  <c r="K111" i="1"/>
  <c r="L111" i="1" s="1"/>
  <c r="G111" i="1"/>
  <c r="H111" i="1" s="1"/>
  <c r="F111" i="1"/>
  <c r="E111" i="1"/>
  <c r="K110" i="1"/>
  <c r="L110" i="1" s="1"/>
  <c r="G110" i="1"/>
  <c r="H110" i="1" s="1"/>
  <c r="F110" i="1"/>
  <c r="E110" i="1"/>
  <c r="L109" i="1"/>
  <c r="K109" i="1"/>
  <c r="I109" i="1"/>
  <c r="G109" i="1"/>
  <c r="H109" i="1" s="1"/>
  <c r="F109" i="1"/>
  <c r="E109" i="1"/>
  <c r="K108" i="1"/>
  <c r="L108" i="1" s="1"/>
  <c r="J108" i="1"/>
  <c r="G108" i="1"/>
  <c r="H108" i="1" s="1"/>
  <c r="F108" i="1"/>
  <c r="E108" i="1"/>
  <c r="K107" i="1"/>
  <c r="L107" i="1" s="1"/>
  <c r="G107" i="1"/>
  <c r="H107" i="1" s="1"/>
  <c r="F107" i="1"/>
  <c r="E107" i="1"/>
  <c r="K106" i="1"/>
  <c r="L106" i="1" s="1"/>
  <c r="G106" i="1"/>
  <c r="H106" i="1" s="1"/>
  <c r="J106" i="1" s="1"/>
  <c r="F106" i="1"/>
  <c r="E106" i="1"/>
  <c r="K105" i="1"/>
  <c r="L105" i="1" s="1"/>
  <c r="G105" i="1"/>
  <c r="H105" i="1" s="1"/>
  <c r="F105" i="1"/>
  <c r="E105" i="1"/>
  <c r="L104" i="1"/>
  <c r="N104" i="1" s="1"/>
  <c r="K104" i="1"/>
  <c r="J104" i="1"/>
  <c r="G104" i="1"/>
  <c r="H104" i="1" s="1"/>
  <c r="F104" i="1"/>
  <c r="E104" i="1"/>
  <c r="K103" i="1"/>
  <c r="L103" i="1" s="1"/>
  <c r="I103" i="1"/>
  <c r="G103" i="1"/>
  <c r="H103" i="1" s="1"/>
  <c r="F103" i="1"/>
  <c r="E103" i="1"/>
  <c r="K102" i="1"/>
  <c r="L102" i="1" s="1"/>
  <c r="G102" i="1"/>
  <c r="H102" i="1" s="1"/>
  <c r="E102" i="1"/>
  <c r="K101" i="1"/>
  <c r="L101" i="1" s="1"/>
  <c r="F101" i="1"/>
  <c r="G101" i="1" s="1"/>
  <c r="H101" i="1" s="1"/>
  <c r="E101" i="1"/>
  <c r="K100" i="1"/>
  <c r="L100" i="1" s="1"/>
  <c r="H100" i="1"/>
  <c r="I100" i="1" s="1"/>
  <c r="F100" i="1"/>
  <c r="G100" i="1" s="1"/>
  <c r="E100" i="1"/>
  <c r="K99" i="1"/>
  <c r="L99" i="1" s="1"/>
  <c r="H99" i="1"/>
  <c r="F99" i="1"/>
  <c r="G99" i="1" s="1"/>
  <c r="E99" i="1"/>
  <c r="L98" i="1"/>
  <c r="K98" i="1"/>
  <c r="F98" i="1"/>
  <c r="G98" i="1" s="1"/>
  <c r="H98" i="1" s="1"/>
  <c r="E98" i="1"/>
  <c r="L97" i="1"/>
  <c r="K97" i="1"/>
  <c r="F97" i="1"/>
  <c r="G97" i="1" s="1"/>
  <c r="H97" i="1" s="1"/>
  <c r="E97" i="1"/>
  <c r="K96" i="1"/>
  <c r="L96" i="1" s="1"/>
  <c r="I96" i="1"/>
  <c r="H96" i="1"/>
  <c r="F96" i="1"/>
  <c r="G96" i="1" s="1"/>
  <c r="E96" i="1"/>
  <c r="K95" i="1"/>
  <c r="L95" i="1" s="1"/>
  <c r="F95" i="1"/>
  <c r="G95" i="1" s="1"/>
  <c r="H95" i="1" s="1"/>
  <c r="E95" i="1"/>
  <c r="L94" i="1"/>
  <c r="K94" i="1"/>
  <c r="F94" i="1"/>
  <c r="G94" i="1" s="1"/>
  <c r="H94" i="1" s="1"/>
  <c r="E94" i="1"/>
  <c r="K93" i="1"/>
  <c r="L93" i="1" s="1"/>
  <c r="J93" i="1"/>
  <c r="F93" i="1"/>
  <c r="G93" i="1" s="1"/>
  <c r="H93" i="1" s="1"/>
  <c r="E93" i="1"/>
  <c r="K92" i="1"/>
  <c r="L92" i="1" s="1"/>
  <c r="F92" i="1"/>
  <c r="G92" i="1" s="1"/>
  <c r="H92" i="1" s="1"/>
  <c r="E92" i="1"/>
  <c r="K91" i="1"/>
  <c r="L91" i="1" s="1"/>
  <c r="H91" i="1"/>
  <c r="J91" i="1" s="1"/>
  <c r="G91" i="1"/>
  <c r="E91" i="1"/>
  <c r="K90" i="1"/>
  <c r="L90" i="1" s="1"/>
  <c r="J90" i="1"/>
  <c r="I90" i="1"/>
  <c r="G90" i="1"/>
  <c r="H90" i="1" s="1"/>
  <c r="F90" i="1"/>
  <c r="E90" i="1"/>
  <c r="K89" i="1"/>
  <c r="L89" i="1" s="1"/>
  <c r="G89" i="1"/>
  <c r="H89" i="1" s="1"/>
  <c r="F89" i="1"/>
  <c r="E89" i="1"/>
  <c r="K88" i="1"/>
  <c r="L88" i="1" s="1"/>
  <c r="G88" i="1"/>
  <c r="H88" i="1" s="1"/>
  <c r="F88" i="1"/>
  <c r="E88" i="1"/>
  <c r="K87" i="1"/>
  <c r="L87" i="1" s="1"/>
  <c r="H87" i="1"/>
  <c r="I87" i="1" s="1"/>
  <c r="G87" i="1"/>
  <c r="F87" i="1"/>
  <c r="E87" i="1"/>
  <c r="K86" i="1"/>
  <c r="L86" i="1" s="1"/>
  <c r="G86" i="1"/>
  <c r="H86" i="1" s="1"/>
  <c r="F86" i="1"/>
  <c r="E86" i="1"/>
  <c r="K85" i="1"/>
  <c r="L85" i="1" s="1"/>
  <c r="G85" i="1"/>
  <c r="H85" i="1" s="1"/>
  <c r="F85" i="1"/>
  <c r="E85" i="1"/>
  <c r="K84" i="1"/>
  <c r="L84" i="1" s="1"/>
  <c r="G84" i="1"/>
  <c r="H84" i="1" s="1"/>
  <c r="F84" i="1"/>
  <c r="E84" i="1"/>
  <c r="K83" i="1"/>
  <c r="L83" i="1" s="1"/>
  <c r="G83" i="1"/>
  <c r="H83" i="1" s="1"/>
  <c r="J83" i="1" s="1"/>
  <c r="F83" i="1"/>
  <c r="E83" i="1"/>
  <c r="K82" i="1"/>
  <c r="L82" i="1" s="1"/>
  <c r="G82" i="1"/>
  <c r="H82" i="1" s="1"/>
  <c r="F82" i="1"/>
  <c r="E82" i="1"/>
  <c r="K81" i="1"/>
  <c r="L81" i="1" s="1"/>
  <c r="G81" i="1"/>
  <c r="H81" i="1" s="1"/>
  <c r="F81" i="1"/>
  <c r="E81" i="1"/>
  <c r="K80" i="1"/>
  <c r="L80" i="1" s="1"/>
  <c r="N80" i="1" s="1"/>
  <c r="G80" i="1"/>
  <c r="H80" i="1" s="1"/>
  <c r="F80" i="1"/>
  <c r="E80" i="1"/>
  <c r="K79" i="1"/>
  <c r="L79" i="1" s="1"/>
  <c r="G79" i="1"/>
  <c r="H79" i="1" s="1"/>
  <c r="J79" i="1" s="1"/>
  <c r="F79" i="1"/>
  <c r="E79" i="1"/>
  <c r="K78" i="1"/>
  <c r="L78" i="1" s="1"/>
  <c r="G78" i="1"/>
  <c r="H78" i="1" s="1"/>
  <c r="F78" i="1"/>
  <c r="E78" i="1"/>
  <c r="K77" i="1"/>
  <c r="L77" i="1" s="1"/>
  <c r="G77" i="1"/>
  <c r="H77" i="1" s="1"/>
  <c r="F77" i="1"/>
  <c r="E77" i="1"/>
  <c r="K76" i="1"/>
  <c r="L76" i="1" s="1"/>
  <c r="G76" i="1"/>
  <c r="H76" i="1" s="1"/>
  <c r="F76" i="1"/>
  <c r="E76" i="1"/>
  <c r="K75" i="1"/>
  <c r="L75" i="1" s="1"/>
  <c r="N75" i="1" s="1"/>
  <c r="G75" i="1"/>
  <c r="H75" i="1" s="1"/>
  <c r="F75" i="1"/>
  <c r="E75" i="1"/>
  <c r="K74" i="1"/>
  <c r="L74" i="1" s="1"/>
  <c r="G74" i="1"/>
  <c r="H74" i="1" s="1"/>
  <c r="J74" i="1" s="1"/>
  <c r="F74" i="1"/>
  <c r="E74" i="1"/>
  <c r="K73" i="1"/>
  <c r="L73" i="1" s="1"/>
  <c r="G73" i="1"/>
  <c r="H73" i="1" s="1"/>
  <c r="F73" i="1"/>
  <c r="E73" i="1"/>
  <c r="K72" i="1"/>
  <c r="L72" i="1" s="1"/>
  <c r="G72" i="1"/>
  <c r="H72" i="1" s="1"/>
  <c r="F72" i="1"/>
  <c r="E72" i="1"/>
  <c r="K71" i="1"/>
  <c r="L71" i="1" s="1"/>
  <c r="G71" i="1"/>
  <c r="H71" i="1" s="1"/>
  <c r="F71" i="1"/>
  <c r="E71" i="1"/>
  <c r="K70" i="1"/>
  <c r="L70" i="1" s="1"/>
  <c r="N70" i="1" s="1"/>
  <c r="G70" i="1"/>
  <c r="H70" i="1" s="1"/>
  <c r="F70" i="1"/>
  <c r="E70" i="1"/>
  <c r="K69" i="1"/>
  <c r="L69" i="1" s="1"/>
  <c r="I69" i="1"/>
  <c r="G69" i="1"/>
  <c r="H69" i="1" s="1"/>
  <c r="F69" i="1"/>
  <c r="E69" i="1"/>
  <c r="K68" i="1"/>
  <c r="L68" i="1" s="1"/>
  <c r="M68" i="1" s="1"/>
  <c r="G68" i="1"/>
  <c r="H68" i="1" s="1"/>
  <c r="F68" i="1"/>
  <c r="E68" i="1"/>
  <c r="K67" i="1"/>
  <c r="L67" i="1" s="1"/>
  <c r="G67" i="1"/>
  <c r="H67" i="1" s="1"/>
  <c r="F67" i="1"/>
  <c r="E67" i="1"/>
  <c r="K66" i="1"/>
  <c r="L66" i="1" s="1"/>
  <c r="G66" i="1"/>
  <c r="H66" i="1" s="1"/>
  <c r="F66" i="1"/>
  <c r="E66" i="1"/>
  <c r="K65" i="1"/>
  <c r="L65" i="1" s="1"/>
  <c r="N65" i="1" s="1"/>
  <c r="G65" i="1"/>
  <c r="H65" i="1" s="1"/>
  <c r="F65" i="1"/>
  <c r="E65" i="1"/>
  <c r="K64" i="1"/>
  <c r="L64" i="1" s="1"/>
  <c r="N64" i="1" s="1"/>
  <c r="G64" i="1"/>
  <c r="H64" i="1" s="1"/>
  <c r="J64" i="1" s="1"/>
  <c r="F64" i="1"/>
  <c r="E64" i="1"/>
  <c r="K63" i="1"/>
  <c r="L63" i="1" s="1"/>
  <c r="M63" i="1" s="1"/>
  <c r="G63" i="1"/>
  <c r="H63" i="1" s="1"/>
  <c r="F63" i="1"/>
  <c r="E63" i="1"/>
  <c r="K62" i="1"/>
  <c r="L62" i="1" s="1"/>
  <c r="G62" i="1"/>
  <c r="H62" i="1" s="1"/>
  <c r="F62" i="1"/>
  <c r="E62" i="1"/>
  <c r="K61" i="1"/>
  <c r="L61" i="1" s="1"/>
  <c r="G61" i="1"/>
  <c r="H61" i="1" s="1"/>
  <c r="F61" i="1"/>
  <c r="E61" i="1"/>
  <c r="K60" i="1"/>
  <c r="L60" i="1" s="1"/>
  <c r="G60" i="1"/>
  <c r="H60" i="1" s="1"/>
  <c r="F60" i="1"/>
  <c r="E60" i="1"/>
  <c r="K59" i="1"/>
  <c r="L59" i="1" s="1"/>
  <c r="G59" i="1"/>
  <c r="H59" i="1" s="1"/>
  <c r="J59" i="1" s="1"/>
  <c r="F59" i="1"/>
  <c r="E59" i="1"/>
  <c r="K58" i="1"/>
  <c r="L58" i="1" s="1"/>
  <c r="M58" i="1" s="1"/>
  <c r="G58" i="1"/>
  <c r="H58" i="1" s="1"/>
  <c r="F58" i="1"/>
  <c r="E58" i="1"/>
  <c r="K57" i="1"/>
  <c r="L57" i="1" s="1"/>
  <c r="N57" i="1" s="1"/>
  <c r="G57" i="1"/>
  <c r="H57" i="1" s="1"/>
  <c r="F57" i="1"/>
  <c r="E57" i="1"/>
  <c r="K56" i="1"/>
  <c r="L56" i="1" s="1"/>
  <c r="G56" i="1"/>
  <c r="H56" i="1" s="1"/>
  <c r="F56" i="1"/>
  <c r="E56" i="1"/>
  <c r="K55" i="1"/>
  <c r="L55" i="1" s="1"/>
  <c r="G55" i="1"/>
  <c r="H55" i="1" s="1"/>
  <c r="F55" i="1"/>
  <c r="E55" i="1"/>
  <c r="K54" i="1"/>
  <c r="L54" i="1" s="1"/>
  <c r="G54" i="1"/>
  <c r="H54" i="1" s="1"/>
  <c r="J54" i="1" s="1"/>
  <c r="F54" i="1"/>
  <c r="E54" i="1"/>
  <c r="K53" i="1"/>
  <c r="L53" i="1" s="1"/>
  <c r="G53" i="1"/>
  <c r="H53" i="1" s="1"/>
  <c r="F53" i="1"/>
  <c r="E53" i="1"/>
  <c r="K52" i="1"/>
  <c r="L52" i="1" s="1"/>
  <c r="N52" i="1" s="1"/>
  <c r="G52" i="1"/>
  <c r="H52" i="1" s="1"/>
  <c r="F52" i="1"/>
  <c r="E52" i="1"/>
  <c r="K51" i="1"/>
  <c r="L51" i="1" s="1"/>
  <c r="G51" i="1"/>
  <c r="H51" i="1" s="1"/>
  <c r="F51" i="1"/>
  <c r="E51" i="1"/>
  <c r="L50" i="1"/>
  <c r="N50" i="1" s="1"/>
  <c r="K50" i="1"/>
  <c r="G50" i="1"/>
  <c r="H50" i="1" s="1"/>
  <c r="F50" i="1"/>
  <c r="E50" i="1"/>
  <c r="L49" i="1"/>
  <c r="M49" i="1" s="1"/>
  <c r="K49" i="1"/>
  <c r="G49" i="1"/>
  <c r="H49" i="1" s="1"/>
  <c r="F49" i="1"/>
  <c r="E49" i="1"/>
  <c r="K48" i="1"/>
  <c r="L48" i="1" s="1"/>
  <c r="H48" i="1"/>
  <c r="I48" i="1" s="1"/>
  <c r="G48" i="1"/>
  <c r="F48" i="1"/>
  <c r="E48" i="1"/>
  <c r="K47" i="1"/>
  <c r="L47" i="1" s="1"/>
  <c r="G47" i="1"/>
  <c r="H47" i="1" s="1"/>
  <c r="F47" i="1"/>
  <c r="E47" i="1"/>
  <c r="K46" i="1"/>
  <c r="L46" i="1" s="1"/>
  <c r="J46" i="1"/>
  <c r="I46" i="1"/>
  <c r="H46" i="1"/>
  <c r="G46" i="1"/>
  <c r="F46" i="1"/>
  <c r="E46" i="1"/>
  <c r="K45" i="1"/>
  <c r="L45" i="1" s="1"/>
  <c r="G45" i="1"/>
  <c r="H45" i="1" s="1"/>
  <c r="F45" i="1"/>
  <c r="E45" i="1"/>
  <c r="K44" i="1"/>
  <c r="L44" i="1" s="1"/>
  <c r="H44" i="1"/>
  <c r="G44" i="1"/>
  <c r="F44" i="1"/>
  <c r="E44" i="1"/>
  <c r="K43" i="1"/>
  <c r="L43" i="1" s="1"/>
  <c r="G43" i="1"/>
  <c r="H43" i="1" s="1"/>
  <c r="F43" i="1"/>
  <c r="E43" i="1"/>
  <c r="L42" i="1"/>
  <c r="K42" i="1"/>
  <c r="G42" i="1"/>
  <c r="H42" i="1" s="1"/>
  <c r="F42" i="1"/>
  <c r="E42" i="1"/>
  <c r="K41" i="1"/>
  <c r="L41" i="1" s="1"/>
  <c r="G41" i="1"/>
  <c r="H41" i="1" s="1"/>
  <c r="F41" i="1"/>
  <c r="E41" i="1"/>
  <c r="L40" i="1"/>
  <c r="N40" i="1" s="1"/>
  <c r="K40" i="1"/>
  <c r="G40" i="1"/>
  <c r="H40" i="1" s="1"/>
  <c r="F40" i="1"/>
  <c r="E40" i="1"/>
  <c r="K39" i="1"/>
  <c r="L39" i="1" s="1"/>
  <c r="G39" i="1"/>
  <c r="H39" i="1" s="1"/>
  <c r="F39" i="1"/>
  <c r="E39" i="1"/>
  <c r="L38" i="1"/>
  <c r="K38" i="1"/>
  <c r="J38" i="1"/>
  <c r="H38" i="1"/>
  <c r="G38" i="1"/>
  <c r="F38" i="1"/>
  <c r="E38" i="1"/>
  <c r="K37" i="1"/>
  <c r="L37" i="1" s="1"/>
  <c r="G37" i="1"/>
  <c r="H37" i="1" s="1"/>
  <c r="J37" i="1" s="1"/>
  <c r="F37" i="1"/>
  <c r="E37" i="1"/>
  <c r="K36" i="1"/>
  <c r="L36" i="1" s="1"/>
  <c r="I36" i="1"/>
  <c r="H36" i="1"/>
  <c r="J36" i="1" s="1"/>
  <c r="G36" i="1"/>
  <c r="F36" i="1"/>
  <c r="E36" i="1"/>
  <c r="K35" i="1"/>
  <c r="L35" i="1" s="1"/>
  <c r="G35" i="1"/>
  <c r="H35" i="1" s="1"/>
  <c r="F35" i="1"/>
  <c r="E35" i="1"/>
  <c r="K34" i="1"/>
  <c r="L34" i="1" s="1"/>
  <c r="G34" i="1"/>
  <c r="H34" i="1" s="1"/>
  <c r="F34" i="1"/>
  <c r="E34" i="1"/>
  <c r="K33" i="1"/>
  <c r="L33" i="1" s="1"/>
  <c r="G33" i="1"/>
  <c r="H33" i="1" s="1"/>
  <c r="F33" i="1"/>
  <c r="E33" i="1"/>
  <c r="L32" i="1"/>
  <c r="K32" i="1"/>
  <c r="G32" i="1"/>
  <c r="H32" i="1" s="1"/>
  <c r="F32" i="1"/>
  <c r="E32" i="1"/>
  <c r="M31" i="1"/>
  <c r="K31" i="1"/>
  <c r="L31" i="1" s="1"/>
  <c r="N31" i="1" s="1"/>
  <c r="G31" i="1"/>
  <c r="H31" i="1" s="1"/>
  <c r="F31" i="1"/>
  <c r="E31" i="1"/>
  <c r="L30" i="1"/>
  <c r="K30" i="1"/>
  <c r="G30" i="1"/>
  <c r="H30" i="1" s="1"/>
  <c r="I30" i="1" s="1"/>
  <c r="F30" i="1"/>
  <c r="E30" i="1"/>
  <c r="K29" i="1"/>
  <c r="L29" i="1" s="1"/>
  <c r="G29" i="1"/>
  <c r="H29" i="1" s="1"/>
  <c r="J29" i="1" s="1"/>
  <c r="F29" i="1"/>
  <c r="E29" i="1"/>
  <c r="K28" i="1"/>
  <c r="L28" i="1" s="1"/>
  <c r="H28" i="1"/>
  <c r="I28" i="1" s="1"/>
  <c r="G28" i="1"/>
  <c r="F28" i="1"/>
  <c r="E28" i="1"/>
  <c r="K27" i="1"/>
  <c r="L27" i="1" s="1"/>
  <c r="I27" i="1"/>
  <c r="G27" i="1"/>
  <c r="H27" i="1" s="1"/>
  <c r="J27" i="1" s="1"/>
  <c r="F27" i="1"/>
  <c r="E27" i="1"/>
  <c r="K26" i="1"/>
  <c r="L26" i="1" s="1"/>
  <c r="H26" i="1"/>
  <c r="I26" i="1" s="1"/>
  <c r="G26" i="1"/>
  <c r="F26" i="1"/>
  <c r="E26" i="1"/>
  <c r="K25" i="1"/>
  <c r="L25" i="1" s="1"/>
  <c r="G25" i="1"/>
  <c r="H25" i="1" s="1"/>
  <c r="F25" i="1"/>
  <c r="E25" i="1"/>
  <c r="K24" i="1"/>
  <c r="L24" i="1" s="1"/>
  <c r="G24" i="1"/>
  <c r="H24" i="1" s="1"/>
  <c r="F24" i="1"/>
  <c r="E24" i="1"/>
  <c r="M23" i="1"/>
  <c r="K23" i="1"/>
  <c r="L23" i="1" s="1"/>
  <c r="G23" i="1"/>
  <c r="H23" i="1" s="1"/>
  <c r="F23" i="1"/>
  <c r="E23" i="1"/>
  <c r="H19" i="1"/>
  <c r="I19" i="1" s="1"/>
  <c r="G19" i="1"/>
  <c r="F19" i="1"/>
  <c r="E19" i="1"/>
  <c r="D19" i="1"/>
  <c r="H18" i="1"/>
  <c r="G18" i="1" s="1"/>
  <c r="F18" i="1"/>
  <c r="E18" i="1"/>
  <c r="D18" i="1"/>
  <c r="H17" i="1"/>
  <c r="F17" i="1"/>
  <c r="E17" i="1"/>
  <c r="D17" i="1"/>
  <c r="H16" i="1"/>
  <c r="F16" i="1"/>
  <c r="D16" i="1"/>
  <c r="I15" i="1"/>
  <c r="J87" i="1" s="1"/>
  <c r="F15" i="1"/>
  <c r="G15" i="1" s="1"/>
  <c r="E15" i="1"/>
  <c r="D15" i="1"/>
  <c r="I14" i="1"/>
  <c r="G14" i="1"/>
  <c r="F14" i="1"/>
  <c r="E14" i="1"/>
  <c r="I108" i="1" s="1"/>
  <c r="D14" i="1"/>
  <c r="I13" i="1"/>
  <c r="J124" i="1" s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D5" i="1"/>
  <c r="H4" i="1"/>
  <c r="G4" i="1" s="1"/>
  <c r="F4" i="1"/>
  <c r="D4" i="1"/>
  <c r="H3" i="1"/>
  <c r="I3" i="1" s="1"/>
  <c r="F3" i="1"/>
  <c r="G3" i="1" s="1"/>
  <c r="D3" i="1"/>
  <c r="J73" i="1" l="1"/>
  <c r="I73" i="1"/>
  <c r="J78" i="1"/>
  <c r="I78" i="1"/>
  <c r="J45" i="1"/>
  <c r="I45" i="1"/>
  <c r="J86" i="1"/>
  <c r="I86" i="1"/>
  <c r="N28" i="1"/>
  <c r="M28" i="1"/>
  <c r="N39" i="1"/>
  <c r="M39" i="1"/>
  <c r="J25" i="1"/>
  <c r="I25" i="1"/>
  <c r="M48" i="1"/>
  <c r="J47" i="1"/>
  <c r="J24" i="1"/>
  <c r="I24" i="1"/>
  <c r="J35" i="1"/>
  <c r="I35" i="1"/>
  <c r="N29" i="1"/>
  <c r="M29" i="1"/>
  <c r="I34" i="1"/>
  <c r="J53" i="1"/>
  <c r="I53" i="1"/>
  <c r="J58" i="1"/>
  <c r="I58" i="1"/>
  <c r="J63" i="1"/>
  <c r="I63" i="1"/>
  <c r="J68" i="1"/>
  <c r="I68" i="1"/>
  <c r="N38" i="1"/>
  <c r="M38" i="1"/>
  <c r="J44" i="1"/>
  <c r="I44" i="1"/>
  <c r="J49" i="1"/>
  <c r="I49" i="1"/>
  <c r="J71" i="1"/>
  <c r="I71" i="1"/>
  <c r="N95" i="1"/>
  <c r="M95" i="1"/>
  <c r="N107" i="1"/>
  <c r="M107" i="1"/>
  <c r="J120" i="1"/>
  <c r="N25" i="1"/>
  <c r="M25" i="1"/>
  <c r="I37" i="1"/>
  <c r="N44" i="1"/>
  <c r="M44" i="1"/>
  <c r="J57" i="1"/>
  <c r="I57" i="1"/>
  <c r="J65" i="1"/>
  <c r="I65" i="1"/>
  <c r="J69" i="1"/>
  <c r="M75" i="1"/>
  <c r="J88" i="1"/>
  <c r="I88" i="1"/>
  <c r="I93" i="1"/>
  <c r="J98" i="1"/>
  <c r="I98" i="1"/>
  <c r="M100" i="1"/>
  <c r="J105" i="1"/>
  <c r="J116" i="1"/>
  <c r="N118" i="1"/>
  <c r="M118" i="1"/>
  <c r="N120" i="1"/>
  <c r="M120" i="1"/>
  <c r="N127" i="1"/>
  <c r="M127" i="1"/>
  <c r="J113" i="1"/>
  <c r="J103" i="1"/>
  <c r="J30" i="1"/>
  <c r="J55" i="1"/>
  <c r="I55" i="1"/>
  <c r="I59" i="1"/>
  <c r="J82" i="1"/>
  <c r="I82" i="1"/>
  <c r="N105" i="1"/>
  <c r="M105" i="1"/>
  <c r="N37" i="1"/>
  <c r="M37" i="1"/>
  <c r="J39" i="1"/>
  <c r="I39" i="1"/>
  <c r="N55" i="1"/>
  <c r="M65" i="1"/>
  <c r="J80" i="1"/>
  <c r="I80" i="1"/>
  <c r="N84" i="1"/>
  <c r="M84" i="1"/>
  <c r="N93" i="1"/>
  <c r="M93" i="1"/>
  <c r="J96" i="1"/>
  <c r="J101" i="1"/>
  <c r="I101" i="1"/>
  <c r="N112" i="1"/>
  <c r="M112" i="1"/>
  <c r="N123" i="1"/>
  <c r="M123" i="1"/>
  <c r="N125" i="1"/>
  <c r="M125" i="1"/>
  <c r="N132" i="1"/>
  <c r="M132" i="1"/>
  <c r="J67" i="1"/>
  <c r="I67" i="1"/>
  <c r="J61" i="1"/>
  <c r="I61" i="1"/>
  <c r="J84" i="1"/>
  <c r="I84" i="1"/>
  <c r="N103" i="1"/>
  <c r="M103" i="1"/>
  <c r="N116" i="1"/>
  <c r="M116" i="1"/>
  <c r="N30" i="1"/>
  <c r="N46" i="1"/>
  <c r="M46" i="1"/>
  <c r="M55" i="1"/>
  <c r="N59" i="1"/>
  <c r="M59" i="1"/>
  <c r="I72" i="1"/>
  <c r="J72" i="1"/>
  <c r="I74" i="1"/>
  <c r="J76" i="1"/>
  <c r="I76" i="1"/>
  <c r="N101" i="1"/>
  <c r="M101" i="1"/>
  <c r="J130" i="1"/>
  <c r="J41" i="1"/>
  <c r="I41" i="1"/>
  <c r="J70" i="1"/>
  <c r="I70" i="1"/>
  <c r="M80" i="1"/>
  <c r="J89" i="1"/>
  <c r="I89" i="1"/>
  <c r="I94" i="1"/>
  <c r="J94" i="1"/>
  <c r="M96" i="1"/>
  <c r="N96" i="1"/>
  <c r="N108" i="1"/>
  <c r="M108" i="1"/>
  <c r="M110" i="1"/>
  <c r="N121" i="1"/>
  <c r="M121" i="1"/>
  <c r="N130" i="1"/>
  <c r="M130" i="1"/>
  <c r="J32" i="1"/>
  <c r="I32" i="1"/>
  <c r="N27" i="1"/>
  <c r="M27" i="1"/>
  <c r="N32" i="1"/>
  <c r="M32" i="1"/>
  <c r="I43" i="1"/>
  <c r="J43" i="1"/>
  <c r="I64" i="1"/>
  <c r="N91" i="1"/>
  <c r="M91" i="1"/>
  <c r="J102" i="1"/>
  <c r="I102" i="1"/>
  <c r="N106" i="1"/>
  <c r="M106" i="1"/>
  <c r="N117" i="1"/>
  <c r="M117" i="1"/>
  <c r="N128" i="1"/>
  <c r="M128" i="1"/>
  <c r="N35" i="1"/>
  <c r="M35" i="1"/>
  <c r="J42" i="1"/>
  <c r="I42" i="1"/>
  <c r="M47" i="1"/>
  <c r="I128" i="1"/>
  <c r="I114" i="1"/>
  <c r="I104" i="1"/>
  <c r="J51" i="1"/>
  <c r="I51" i="1"/>
  <c r="N41" i="1"/>
  <c r="I50" i="1"/>
  <c r="J50" i="1"/>
  <c r="I62" i="1"/>
  <c r="J66" i="1"/>
  <c r="I66" i="1"/>
  <c r="J85" i="1"/>
  <c r="I85" i="1"/>
  <c r="J26" i="1"/>
  <c r="N36" i="1"/>
  <c r="M36" i="1"/>
  <c r="I38" i="1"/>
  <c r="M41" i="1"/>
  <c r="N45" i="1"/>
  <c r="M45" i="1"/>
  <c r="I54" i="1"/>
  <c r="J56" i="1"/>
  <c r="I56" i="1"/>
  <c r="J60" i="1"/>
  <c r="I60" i="1"/>
  <c r="M70" i="1"/>
  <c r="I83" i="1"/>
  <c r="J97" i="1"/>
  <c r="I97" i="1"/>
  <c r="M99" i="1"/>
  <c r="N102" i="1"/>
  <c r="M102" i="1"/>
  <c r="J115" i="1"/>
  <c r="N126" i="1"/>
  <c r="M126" i="1"/>
  <c r="J127" i="1"/>
  <c r="J31" i="1"/>
  <c r="I31" i="1"/>
  <c r="J33" i="1"/>
  <c r="I33" i="1"/>
  <c r="I47" i="1"/>
  <c r="N60" i="1"/>
  <c r="I77" i="1"/>
  <c r="J77" i="1"/>
  <c r="I79" i="1"/>
  <c r="J81" i="1"/>
  <c r="I81" i="1"/>
  <c r="N87" i="1"/>
  <c r="M87" i="1"/>
  <c r="J92" i="1"/>
  <c r="I92" i="1"/>
  <c r="J111" i="1"/>
  <c r="N113" i="1"/>
  <c r="M113" i="1"/>
  <c r="N115" i="1"/>
  <c r="M115" i="1"/>
  <c r="I131" i="1"/>
  <c r="M133" i="1"/>
  <c r="J123" i="1"/>
  <c r="J129" i="1"/>
  <c r="M40" i="1"/>
  <c r="N34" i="1"/>
  <c r="M34" i="1"/>
  <c r="N24" i="1"/>
  <c r="M24" i="1"/>
  <c r="I29" i="1"/>
  <c r="M30" i="1"/>
  <c r="G17" i="1"/>
  <c r="I17" i="1"/>
  <c r="J110" i="1" s="1"/>
  <c r="N43" i="1"/>
  <c r="M43" i="1"/>
  <c r="I52" i="1"/>
  <c r="J52" i="1"/>
  <c r="I99" i="1"/>
  <c r="I123" i="1"/>
  <c r="I129" i="1"/>
  <c r="I23" i="1"/>
  <c r="J23" i="1"/>
  <c r="N26" i="1"/>
  <c r="M26" i="1"/>
  <c r="J118" i="1"/>
  <c r="J109" i="1"/>
  <c r="N23" i="1"/>
  <c r="J28" i="1"/>
  <c r="M33" i="1"/>
  <c r="I40" i="1"/>
  <c r="J40" i="1"/>
  <c r="M50" i="1"/>
  <c r="N54" i="1"/>
  <c r="M54" i="1"/>
  <c r="M60" i="1"/>
  <c r="J75" i="1"/>
  <c r="I75" i="1"/>
  <c r="N92" i="1"/>
  <c r="M92" i="1"/>
  <c r="J95" i="1"/>
  <c r="I95" i="1"/>
  <c r="M97" i="1"/>
  <c r="N97" i="1"/>
  <c r="J107" i="1"/>
  <c r="M111" i="1"/>
  <c r="N122" i="1"/>
  <c r="M122" i="1"/>
  <c r="N131" i="1"/>
  <c r="M131" i="1"/>
  <c r="N42" i="1"/>
  <c r="N51" i="1"/>
  <c r="N56" i="1"/>
  <c r="N61" i="1"/>
  <c r="N66" i="1"/>
  <c r="N71" i="1"/>
  <c r="N76" i="1"/>
  <c r="N81" i="1"/>
  <c r="M81" i="1"/>
  <c r="M88" i="1"/>
  <c r="N98" i="1"/>
  <c r="M98" i="1"/>
  <c r="M42" i="1"/>
  <c r="M51" i="1"/>
  <c r="M56" i="1"/>
  <c r="M61" i="1"/>
  <c r="M66" i="1"/>
  <c r="M71" i="1"/>
  <c r="M76" i="1"/>
  <c r="N94" i="1"/>
  <c r="M94" i="1"/>
  <c r="N109" i="1"/>
  <c r="N119" i="1"/>
  <c r="N124" i="1"/>
  <c r="N129" i="1"/>
  <c r="N134" i="1"/>
  <c r="M104" i="1"/>
  <c r="I107" i="1"/>
  <c r="M109" i="1"/>
  <c r="I112" i="1"/>
  <c r="M114" i="1"/>
  <c r="I117" i="1"/>
  <c r="M124" i="1"/>
  <c r="I127" i="1"/>
  <c r="M129" i="1"/>
  <c r="I132" i="1"/>
  <c r="M134" i="1"/>
  <c r="N69" i="1"/>
  <c r="N79" i="1"/>
  <c r="I122" i="1"/>
  <c r="G16" i="1"/>
  <c r="M64" i="1"/>
  <c r="M79" i="1"/>
  <c r="N74" i="1"/>
  <c r="N83" i="1"/>
  <c r="N90" i="1"/>
  <c r="M90" i="1"/>
  <c r="M119" i="1"/>
  <c r="M69" i="1"/>
  <c r="M74" i="1"/>
  <c r="N53" i="1"/>
  <c r="N73" i="1"/>
  <c r="N78" i="1"/>
  <c r="N86" i="1"/>
  <c r="M86" i="1"/>
  <c r="I106" i="1"/>
  <c r="I111" i="1"/>
  <c r="I116" i="1"/>
  <c r="I121" i="1"/>
  <c r="I126" i="1"/>
  <c r="M53" i="1"/>
  <c r="M73" i="1"/>
  <c r="M78" i="1"/>
  <c r="N82" i="1"/>
  <c r="M82" i="1"/>
  <c r="N89" i="1"/>
  <c r="M89" i="1"/>
  <c r="J131" i="1"/>
  <c r="J135" i="1"/>
  <c r="I135" i="1"/>
  <c r="N58" i="1"/>
  <c r="N68" i="1"/>
  <c r="N62" i="1"/>
  <c r="N67" i="1"/>
  <c r="N72" i="1"/>
  <c r="N77" i="1"/>
  <c r="I91" i="1"/>
  <c r="I105" i="1"/>
  <c r="I110" i="1"/>
  <c r="I115" i="1"/>
  <c r="I120" i="1"/>
  <c r="I125" i="1"/>
  <c r="I130" i="1"/>
  <c r="M83" i="1"/>
  <c r="I18" i="1"/>
  <c r="N100" i="1" s="1"/>
  <c r="N63" i="1"/>
  <c r="I4" i="1"/>
  <c r="M52" i="1"/>
  <c r="M57" i="1"/>
  <c r="M62" i="1"/>
  <c r="M67" i="1"/>
  <c r="M72" i="1"/>
  <c r="M77" i="1"/>
  <c r="N85" i="1"/>
  <c r="M85" i="1"/>
  <c r="N135" i="1"/>
  <c r="I16" i="1"/>
  <c r="N33" i="1" s="1"/>
  <c r="M135" i="1"/>
  <c r="J133" i="1" l="1"/>
  <c r="J119" i="1"/>
  <c r="J48" i="1"/>
  <c r="N88" i="1"/>
  <c r="N48" i="1"/>
  <c r="N49" i="1"/>
  <c r="J62" i="1"/>
  <c r="N47" i="1"/>
  <c r="N99" i="1"/>
  <c r="J34" i="1"/>
  <c r="J99" i="1"/>
  <c r="N133" i="1"/>
  <c r="N110" i="1"/>
  <c r="J100" i="1"/>
  <c r="J134" i="1"/>
  <c r="N111" i="1"/>
</calcChain>
</file>

<file path=xl/sharedStrings.xml><?xml version="1.0" encoding="utf-8"?>
<sst xmlns="http://schemas.openxmlformats.org/spreadsheetml/2006/main" count="744" uniqueCount="47">
  <si>
    <t>GPU Configurations</t>
  </si>
  <si>
    <t>Cloud Provider</t>
  </si>
  <si>
    <t>GPU</t>
  </si>
  <si>
    <t># GPUs / Node</t>
  </si>
  <si>
    <t>Inter-node BW (per GPU) [GB/s]</t>
  </si>
  <si>
    <t>Hourly Rate (per GPU)</t>
  </si>
  <si>
    <t>TDP (per node - GPU) [W]</t>
  </si>
  <si>
    <t>TDP (per node - other) [W]</t>
  </si>
  <si>
    <t>TDP (per node) [W]</t>
  </si>
  <si>
    <t>TDP (per GPU) [W]</t>
  </si>
  <si>
    <t>Internal</t>
  </si>
  <si>
    <t>V100</t>
  </si>
  <si>
    <t>A100</t>
  </si>
  <si>
    <t>H100</t>
  </si>
  <si>
    <t>Cloud_A</t>
  </si>
  <si>
    <t>V100 - 16GB</t>
  </si>
  <si>
    <t>V100 - 32GB</t>
  </si>
  <si>
    <t>A100 - 40GB</t>
  </si>
  <si>
    <t>A100 - 80GB</t>
  </si>
  <si>
    <t>H100 - 80GB</t>
  </si>
  <si>
    <t>Cloud_B</t>
  </si>
  <si>
    <t>V100 - 16GB (no NVLink)</t>
  </si>
  <si>
    <t>A100 - 80GB (no NVLink)</t>
  </si>
  <si>
    <t>Cloud_C</t>
  </si>
  <si>
    <t>DLRM-A Train</t>
  </si>
  <si>
    <t>5B Samples</t>
  </si>
  <si>
    <t>30B Samples</t>
  </si>
  <si>
    <t>Provider</t>
  </si>
  <si>
    <t>Number of GPUs</t>
  </si>
  <si>
    <t>// Strategy</t>
  </si>
  <si>
    <t>HBM Used (per GPU) [GB]</t>
  </si>
  <si>
    <t>Throughput [QPS]</t>
  </si>
  <si>
    <t>Time [hours]</t>
  </si>
  <si>
    <t>Aggregate GPU Hours</t>
  </si>
  <si>
    <t>Cost [$]</t>
  </si>
  <si>
    <t>Energy [MWh]</t>
  </si>
  <si>
    <t>V100-16GB</t>
  </si>
  <si>
    <t>FSDP</t>
  </si>
  <si>
    <t>V100-32GB</t>
  </si>
  <si>
    <t>A100-40GB</t>
  </si>
  <si>
    <t>A100-80GB</t>
  </si>
  <si>
    <t>H100-80GB</t>
  </si>
  <si>
    <t>A100-40GB(M)</t>
  </si>
  <si>
    <t>DDP</t>
  </si>
  <si>
    <t>TP, DDP</t>
  </si>
  <si>
    <t>Ref Col</t>
  </si>
  <si>
    <t>0FSDP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</si>
</sst>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  <scheme val="minor"/>
    </font>
    <font>
      <b/>
      <u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1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11" fontId="3" fillId="0" borderId="0" xfId="0" applyNumberFormat="1" applyFont="1" applyAlignment="1">
      <alignment wrapText="1"/>
    </xf>
    <xf numFmtId="0" fontId="3" fillId="2" borderId="0" xfId="0" applyFont="1" applyFill="1"/>
    <xf numFmtId="0" fontId="4" fillId="2" borderId="0" xfId="0" applyFont="1" applyFill="1"/>
    <xf numFmtId="11" fontId="3" fillId="2" borderId="0" xfId="0" applyNumberFormat="1" applyFont="1" applyFill="1"/>
    <xf numFmtId="4" fontId="3" fillId="2" borderId="0" xfId="0" applyNumberFormat="1" applyFont="1" applyFill="1"/>
    <xf numFmtId="164" fontId="3" fillId="2" borderId="0" xfId="0" applyNumberFormat="1" applyFont="1" applyFill="1"/>
    <xf numFmtId="0" fontId="4" fillId="0" borderId="0" xfId="0" applyFont="1"/>
    <xf numFmtId="164" fontId="6" fillId="0" borderId="0" xfId="0" applyNumberFormat="1" applyFont="1"/>
    <xf numFmtId="0" fontId="6" fillId="0" borderId="0" xfId="0" applyFont="1"/>
    <xf numFmtId="11" fontId="6" fillId="0" borderId="0" xfId="0" applyNumberFormat="1" applyFont="1"/>
    <xf numFmtId="4" fontId="6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6"/>
  <sheetViews>
    <sheetView tabSelected="1" topLeftCell="A250" workbookViewId="0">
      <selection activeCell="P144" sqref="P144"/>
    </sheetView>
  </sheetViews>
  <sheetFormatPr baseColWidth="10" defaultColWidth="12.6640625" defaultRowHeight="15.75" customHeight="1" x14ac:dyDescent="0.15"/>
  <cols>
    <col min="1" max="1" width="18.83203125" customWidth="1"/>
  </cols>
  <sheetData>
    <row r="1" spans="1:30" ht="15.7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15">
      <c r="A3" s="3" t="s">
        <v>10</v>
      </c>
      <c r="B3" s="3" t="s">
        <v>11</v>
      </c>
      <c r="C3" s="3">
        <v>8</v>
      </c>
      <c r="D3" s="3">
        <f>800/8/8</f>
        <v>12.5</v>
      </c>
      <c r="E3" s="3"/>
      <c r="F3" s="3">
        <f>8*300</f>
        <v>2400</v>
      </c>
      <c r="G3" s="3">
        <f t="shared" ref="G3:G19" si="0">H3-F3</f>
        <v>2600</v>
      </c>
      <c r="H3" s="3">
        <f>5000</f>
        <v>5000</v>
      </c>
      <c r="I3" s="3">
        <f t="shared" ref="I3:I19" si="1">H3/C3</f>
        <v>625</v>
      </c>
      <c r="J3" s="3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15">
      <c r="A4" s="3"/>
      <c r="B4" s="3" t="s">
        <v>12</v>
      </c>
      <c r="C4" s="3">
        <v>8</v>
      </c>
      <c r="D4" s="3">
        <f>1600/8/8</f>
        <v>25</v>
      </c>
      <c r="E4" s="3"/>
      <c r="F4" s="3">
        <f>8*400</f>
        <v>3200</v>
      </c>
      <c r="G4" s="3">
        <f t="shared" si="0"/>
        <v>3300</v>
      </c>
      <c r="H4" s="3">
        <f>6500</f>
        <v>6500</v>
      </c>
      <c r="I4" s="3">
        <f t="shared" si="1"/>
        <v>812.5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 x14ac:dyDescent="0.15">
      <c r="A5" s="3"/>
      <c r="B5" s="3" t="s">
        <v>13</v>
      </c>
      <c r="C5" s="3">
        <v>8</v>
      </c>
      <c r="D5" s="3">
        <f>3200/8/8</f>
        <v>50</v>
      </c>
      <c r="E5" s="3"/>
      <c r="F5" s="3">
        <f>8*700</f>
        <v>5600</v>
      </c>
      <c r="G5" s="3">
        <f t="shared" si="0"/>
        <v>4600</v>
      </c>
      <c r="H5" s="3">
        <f>10200</f>
        <v>10200</v>
      </c>
      <c r="I5" s="3">
        <f t="shared" si="1"/>
        <v>1275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 x14ac:dyDescent="0.15">
      <c r="A6" s="3" t="s">
        <v>14</v>
      </c>
      <c r="B6" s="3" t="s">
        <v>15</v>
      </c>
      <c r="C6" s="3">
        <v>8</v>
      </c>
      <c r="D6" s="3">
        <f>25/8/8</f>
        <v>0.390625</v>
      </c>
      <c r="E6" s="4">
        <f>24.48/8</f>
        <v>3.06</v>
      </c>
      <c r="F6" s="3">
        <f t="shared" ref="F6:F7" si="2">8*300</f>
        <v>2400</v>
      </c>
      <c r="G6" s="3">
        <f t="shared" si="0"/>
        <v>2600</v>
      </c>
      <c r="H6" s="3">
        <f t="shared" ref="H6:H7" si="3">5000</f>
        <v>5000</v>
      </c>
      <c r="I6" s="3">
        <f t="shared" si="1"/>
        <v>625</v>
      </c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 x14ac:dyDescent="0.15">
      <c r="A7" s="3"/>
      <c r="B7" s="3" t="s">
        <v>16</v>
      </c>
      <c r="C7" s="3">
        <v>8</v>
      </c>
      <c r="D7" s="3">
        <f>100/8/8</f>
        <v>1.5625</v>
      </c>
      <c r="E7" s="4">
        <f>31.21/8</f>
        <v>3.9012500000000001</v>
      </c>
      <c r="F7" s="3">
        <f t="shared" si="2"/>
        <v>2400</v>
      </c>
      <c r="G7" s="3">
        <f t="shared" si="0"/>
        <v>2600</v>
      </c>
      <c r="H7" s="3">
        <f t="shared" si="3"/>
        <v>5000</v>
      </c>
      <c r="I7" s="3">
        <f t="shared" si="1"/>
        <v>625</v>
      </c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 x14ac:dyDescent="0.15">
      <c r="A8" s="3"/>
      <c r="B8" s="3" t="s">
        <v>17</v>
      </c>
      <c r="C8" s="3">
        <v>8</v>
      </c>
      <c r="D8" s="3">
        <f t="shared" ref="D8:D9" si="4">400/8/8</f>
        <v>6.25</v>
      </c>
      <c r="E8" s="4">
        <f>32.78/8</f>
        <v>4.0975000000000001</v>
      </c>
      <c r="F8" s="3">
        <f t="shared" ref="F8:F9" si="5">8*400</f>
        <v>3200</v>
      </c>
      <c r="G8" s="3">
        <f t="shared" si="0"/>
        <v>3300</v>
      </c>
      <c r="H8" s="3">
        <f t="shared" ref="H8:H9" si="6">6500</f>
        <v>6500</v>
      </c>
      <c r="I8" s="3">
        <f t="shared" si="1"/>
        <v>812.5</v>
      </c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 x14ac:dyDescent="0.15">
      <c r="A9" s="3"/>
      <c r="B9" s="3" t="s">
        <v>18</v>
      </c>
      <c r="C9" s="3">
        <v>8</v>
      </c>
      <c r="D9" s="3">
        <f t="shared" si="4"/>
        <v>6.25</v>
      </c>
      <c r="E9" s="4">
        <f>40.97/8</f>
        <v>5.1212499999999999</v>
      </c>
      <c r="F9" s="3">
        <f t="shared" si="5"/>
        <v>3200</v>
      </c>
      <c r="G9" s="3">
        <f t="shared" si="0"/>
        <v>3300</v>
      </c>
      <c r="H9" s="3">
        <f t="shared" si="6"/>
        <v>6500</v>
      </c>
      <c r="I9" s="3">
        <f t="shared" si="1"/>
        <v>812.5</v>
      </c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 x14ac:dyDescent="0.15">
      <c r="A10" s="3"/>
      <c r="B10" s="3" t="s">
        <v>19</v>
      </c>
      <c r="C10" s="3">
        <v>8</v>
      </c>
      <c r="D10" s="3">
        <f>3200/8/8</f>
        <v>50</v>
      </c>
      <c r="E10" s="4">
        <f>98.32/8</f>
        <v>12.29</v>
      </c>
      <c r="F10" s="3">
        <f>8*700</f>
        <v>5600</v>
      </c>
      <c r="G10" s="3">
        <f t="shared" si="0"/>
        <v>4600</v>
      </c>
      <c r="H10" s="3">
        <f>10200</f>
        <v>10200</v>
      </c>
      <c r="I10" s="3">
        <f t="shared" si="1"/>
        <v>1275</v>
      </c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 x14ac:dyDescent="0.15">
      <c r="A11" s="3" t="s">
        <v>20</v>
      </c>
      <c r="B11" s="3" t="s">
        <v>21</v>
      </c>
      <c r="C11" s="3">
        <v>4</v>
      </c>
      <c r="D11" s="3">
        <f>24/4/8</f>
        <v>0.75</v>
      </c>
      <c r="E11" s="4">
        <f>13.46/4</f>
        <v>3.3650000000000002</v>
      </c>
      <c r="F11" s="3">
        <f>4*300</f>
        <v>1200</v>
      </c>
      <c r="G11" s="3">
        <f t="shared" si="0"/>
        <v>1300</v>
      </c>
      <c r="H11" s="3">
        <f>5000/2</f>
        <v>2500</v>
      </c>
      <c r="I11" s="3">
        <f t="shared" si="1"/>
        <v>625</v>
      </c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 x14ac:dyDescent="0.15">
      <c r="A12" s="3"/>
      <c r="B12" s="3" t="s">
        <v>16</v>
      </c>
      <c r="C12" s="3">
        <v>8</v>
      </c>
      <c r="D12" s="3">
        <f>100/8/8</f>
        <v>1.5625</v>
      </c>
      <c r="E12" s="4">
        <f>22.03/8</f>
        <v>2.7537500000000001</v>
      </c>
      <c r="F12" s="3">
        <f>8*300</f>
        <v>2400</v>
      </c>
      <c r="G12" s="3">
        <f t="shared" si="0"/>
        <v>2600</v>
      </c>
      <c r="H12" s="3">
        <f>5000</f>
        <v>5000</v>
      </c>
      <c r="I12" s="3">
        <f t="shared" si="1"/>
        <v>625</v>
      </c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 x14ac:dyDescent="0.15">
      <c r="A13" s="3"/>
      <c r="B13" s="3" t="s">
        <v>22</v>
      </c>
      <c r="C13" s="3">
        <v>4</v>
      </c>
      <c r="D13" s="3">
        <f>80/4/8</f>
        <v>2.5</v>
      </c>
      <c r="E13" s="4">
        <f>14.69/4</f>
        <v>3.6724999999999999</v>
      </c>
      <c r="F13" s="3">
        <f>4*400</f>
        <v>1600</v>
      </c>
      <c r="G13" s="3">
        <f t="shared" si="0"/>
        <v>1650</v>
      </c>
      <c r="H13" s="3">
        <f>6500/2</f>
        <v>3250</v>
      </c>
      <c r="I13" s="3">
        <f t="shared" si="1"/>
        <v>812.5</v>
      </c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 x14ac:dyDescent="0.15">
      <c r="A14" s="3"/>
      <c r="B14" s="3" t="s">
        <v>17</v>
      </c>
      <c r="C14" s="3">
        <v>8</v>
      </c>
      <c r="D14" s="3">
        <f t="shared" ref="D14:D15" si="7">1600/8/8</f>
        <v>25</v>
      </c>
      <c r="E14" s="4">
        <f>27.2/8</f>
        <v>3.4</v>
      </c>
      <c r="F14" s="3">
        <f t="shared" ref="F14:F15" si="8">8*400</f>
        <v>3200</v>
      </c>
      <c r="G14" s="3">
        <f t="shared" si="0"/>
        <v>3300</v>
      </c>
      <c r="H14" s="3">
        <v>6500</v>
      </c>
      <c r="I14" s="3">
        <f t="shared" si="1"/>
        <v>812.5</v>
      </c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 x14ac:dyDescent="0.15">
      <c r="A15" s="3"/>
      <c r="B15" s="3" t="s">
        <v>18</v>
      </c>
      <c r="C15" s="3">
        <v>8</v>
      </c>
      <c r="D15" s="3">
        <f t="shared" si="7"/>
        <v>25</v>
      </c>
      <c r="E15" s="4">
        <f>32.77/8</f>
        <v>4.0962500000000004</v>
      </c>
      <c r="F15" s="3">
        <f t="shared" si="8"/>
        <v>3200</v>
      </c>
      <c r="G15" s="3">
        <f t="shared" si="0"/>
        <v>3300</v>
      </c>
      <c r="H15" s="3">
        <v>6500</v>
      </c>
      <c r="I15" s="3">
        <f t="shared" si="1"/>
        <v>812.5</v>
      </c>
      <c r="J15" s="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 x14ac:dyDescent="0.15">
      <c r="A16" s="3" t="s">
        <v>23</v>
      </c>
      <c r="B16" s="3" t="s">
        <v>15</v>
      </c>
      <c r="C16" s="3">
        <v>8</v>
      </c>
      <c r="D16" s="3">
        <f t="shared" ref="D16:D17" si="9">100/8/8</f>
        <v>1.5625</v>
      </c>
      <c r="E16" s="4">
        <v>2.48</v>
      </c>
      <c r="F16" s="3">
        <f>8*300</f>
        <v>2400</v>
      </c>
      <c r="G16" s="3">
        <f t="shared" si="0"/>
        <v>2600</v>
      </c>
      <c r="H16" s="3">
        <f>5000</f>
        <v>5000</v>
      </c>
      <c r="I16" s="3">
        <f t="shared" si="1"/>
        <v>625</v>
      </c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 x14ac:dyDescent="0.15">
      <c r="A17" s="3"/>
      <c r="B17" s="3" t="s">
        <v>17</v>
      </c>
      <c r="C17" s="3">
        <v>8</v>
      </c>
      <c r="D17" s="3">
        <f t="shared" si="9"/>
        <v>1.5625</v>
      </c>
      <c r="E17" s="4">
        <f>29.39/8</f>
        <v>3.6737500000000001</v>
      </c>
      <c r="F17" s="3">
        <f>8*400</f>
        <v>3200</v>
      </c>
      <c r="G17" s="3">
        <f t="shared" si="0"/>
        <v>3300</v>
      </c>
      <c r="H17" s="3">
        <f>6500</f>
        <v>6500</v>
      </c>
      <c r="I17" s="3">
        <f t="shared" si="1"/>
        <v>812.5</v>
      </c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 x14ac:dyDescent="0.15">
      <c r="A18" s="3"/>
      <c r="B18" s="3" t="s">
        <v>17</v>
      </c>
      <c r="C18" s="3">
        <v>16</v>
      </c>
      <c r="D18" s="3">
        <f>100/16/8</f>
        <v>0.78125</v>
      </c>
      <c r="E18" s="4">
        <f>55.74/16</f>
        <v>3.4837500000000001</v>
      </c>
      <c r="F18" s="3">
        <f>16*400</f>
        <v>6400</v>
      </c>
      <c r="G18" s="3">
        <f t="shared" si="0"/>
        <v>6600</v>
      </c>
      <c r="H18" s="3">
        <f>6500*2</f>
        <v>13000</v>
      </c>
      <c r="I18" s="3">
        <f t="shared" si="1"/>
        <v>812.5</v>
      </c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 x14ac:dyDescent="0.15">
      <c r="A19" s="3"/>
      <c r="B19" s="3" t="s">
        <v>18</v>
      </c>
      <c r="C19" s="3">
        <v>8</v>
      </c>
      <c r="D19" s="3">
        <f>100/8/8</f>
        <v>1.5625</v>
      </c>
      <c r="E19" s="4">
        <f>45.67/8</f>
        <v>5.7087500000000002</v>
      </c>
      <c r="F19" s="3">
        <f>8*400</f>
        <v>3200</v>
      </c>
      <c r="G19" s="3">
        <f t="shared" si="0"/>
        <v>3300</v>
      </c>
      <c r="H19" s="3">
        <f>6500</f>
        <v>6500</v>
      </c>
      <c r="I19" s="3">
        <f t="shared" si="1"/>
        <v>812.5</v>
      </c>
      <c r="J19" s="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customHeight="1" x14ac:dyDescent="0.15">
      <c r="A21" s="6" t="s">
        <v>24</v>
      </c>
      <c r="B21" s="7"/>
      <c r="C21" s="7"/>
      <c r="D21" s="7"/>
      <c r="E21" s="7"/>
      <c r="F21" s="7"/>
      <c r="G21" s="8"/>
      <c r="H21" s="24" t="s">
        <v>25</v>
      </c>
      <c r="I21" s="25"/>
      <c r="J21" s="25"/>
      <c r="K21" s="25"/>
      <c r="L21" s="24" t="s">
        <v>26</v>
      </c>
      <c r="M21" s="25"/>
      <c r="N21" s="25"/>
      <c r="O21" s="2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 x14ac:dyDescent="0.15">
      <c r="A22" s="2" t="s">
        <v>27</v>
      </c>
      <c r="B22" s="2" t="s">
        <v>2</v>
      </c>
      <c r="C22" s="2" t="s">
        <v>28</v>
      </c>
      <c r="D22" s="9" t="s">
        <v>29</v>
      </c>
      <c r="E22" s="2" t="s">
        <v>30</v>
      </c>
      <c r="F22" s="2" t="s">
        <v>31</v>
      </c>
      <c r="G22" s="2" t="s">
        <v>32</v>
      </c>
      <c r="H22" s="2" t="s">
        <v>33</v>
      </c>
      <c r="I22" s="2" t="s">
        <v>34</v>
      </c>
      <c r="J22" s="2" t="s">
        <v>35</v>
      </c>
      <c r="K22" s="2" t="s">
        <v>32</v>
      </c>
      <c r="L22" s="2" t="s">
        <v>33</v>
      </c>
      <c r="M22" s="2" t="s">
        <v>34</v>
      </c>
      <c r="N22" s="2" t="s">
        <v>35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 x14ac:dyDescent="0.15">
      <c r="A23" s="7" t="s">
        <v>14</v>
      </c>
      <c r="B23" s="7" t="s">
        <v>36</v>
      </c>
      <c r="C23" s="7">
        <v>512</v>
      </c>
      <c r="D23" s="7" t="s">
        <v>37</v>
      </c>
      <c r="E23" s="7">
        <f t="shared" ref="E23:E36" si="10">3.13*3</f>
        <v>9.39</v>
      </c>
      <c r="F23" s="10">
        <f>210000</f>
        <v>210000</v>
      </c>
      <c r="G23" s="11">
        <f t="shared" ref="G23:G135" si="11">(5000000000/F23)/(60*60)</f>
        <v>6.6137566137566139</v>
      </c>
      <c r="H23" s="7">
        <f t="shared" ref="H23:H135" si="12">G23*C23</f>
        <v>3386.2433862433863</v>
      </c>
      <c r="I23" s="12">
        <f t="shared" ref="I23:I36" si="13">H23*E6</f>
        <v>10361.904761904761</v>
      </c>
      <c r="J23" s="11">
        <f t="shared" ref="J23:J36" si="14">(H23*I6)/1000000</f>
        <v>2.1164021164021167</v>
      </c>
      <c r="K23" s="11">
        <f t="shared" ref="K23:K135" si="15">(30000000000/F23)/(60*60)</f>
        <v>39.682539682539684</v>
      </c>
      <c r="L23" s="7">
        <f t="shared" ref="L23:L135" si="16">K23*C23</f>
        <v>20317.460317460318</v>
      </c>
      <c r="M23" s="12">
        <f t="shared" ref="M23:M36" si="17">L23*E6</f>
        <v>62171.428571428572</v>
      </c>
      <c r="N23" s="11">
        <f t="shared" ref="N23:N36" si="18">(L23*I6)/1000000</f>
        <v>12.698412698412699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 x14ac:dyDescent="0.15">
      <c r="A24" s="7" t="s">
        <v>14</v>
      </c>
      <c r="B24" s="7" t="s">
        <v>38</v>
      </c>
      <c r="C24" s="7">
        <v>512</v>
      </c>
      <c r="D24" s="7" t="s">
        <v>37</v>
      </c>
      <c r="E24" s="7">
        <f t="shared" si="10"/>
        <v>9.39</v>
      </c>
      <c r="F24" s="10">
        <f>290000</f>
        <v>290000</v>
      </c>
      <c r="G24" s="11">
        <f t="shared" si="11"/>
        <v>4.7892720306513406</v>
      </c>
      <c r="H24" s="7">
        <f t="shared" si="12"/>
        <v>2452.1072796934864</v>
      </c>
      <c r="I24" s="12">
        <f t="shared" si="13"/>
        <v>9566.2835249042146</v>
      </c>
      <c r="J24" s="11">
        <f t="shared" si="14"/>
        <v>1.5325670498084292</v>
      </c>
      <c r="K24" s="11">
        <f t="shared" si="15"/>
        <v>28.735632183908049</v>
      </c>
      <c r="L24" s="7">
        <f t="shared" si="16"/>
        <v>14712.643678160921</v>
      </c>
      <c r="M24" s="12">
        <f t="shared" si="17"/>
        <v>57397.701149425295</v>
      </c>
      <c r="N24" s="11">
        <f t="shared" si="18"/>
        <v>9.1954022988505759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 x14ac:dyDescent="0.15">
      <c r="A25" s="7" t="s">
        <v>14</v>
      </c>
      <c r="B25" s="7" t="s">
        <v>39</v>
      </c>
      <c r="C25" s="7">
        <v>512</v>
      </c>
      <c r="D25" s="7" t="s">
        <v>37</v>
      </c>
      <c r="E25" s="7">
        <f t="shared" si="10"/>
        <v>9.39</v>
      </c>
      <c r="F25" s="10">
        <f t="shared" ref="F25:F26" si="19">670000</f>
        <v>670000</v>
      </c>
      <c r="G25" s="11">
        <f t="shared" si="11"/>
        <v>2.0729684908789388</v>
      </c>
      <c r="H25" s="7">
        <f t="shared" si="12"/>
        <v>1061.3598673300166</v>
      </c>
      <c r="I25" s="12">
        <f t="shared" si="13"/>
        <v>4348.922056384743</v>
      </c>
      <c r="J25" s="11">
        <f t="shared" si="14"/>
        <v>0.86235489220563855</v>
      </c>
      <c r="K25" s="11">
        <f t="shared" si="15"/>
        <v>12.437810945273633</v>
      </c>
      <c r="L25" s="7">
        <f t="shared" si="16"/>
        <v>6368.1592039800998</v>
      </c>
      <c r="M25" s="12">
        <f t="shared" si="17"/>
        <v>26093.532338308461</v>
      </c>
      <c r="N25" s="11">
        <f t="shared" si="18"/>
        <v>5.1741293532338313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customHeight="1" x14ac:dyDescent="0.15">
      <c r="A26" s="7" t="s">
        <v>14</v>
      </c>
      <c r="B26" s="7" t="s">
        <v>40</v>
      </c>
      <c r="C26" s="7">
        <v>512</v>
      </c>
      <c r="D26" s="7" t="s">
        <v>37</v>
      </c>
      <c r="E26" s="7">
        <f t="shared" si="10"/>
        <v>9.39</v>
      </c>
      <c r="F26" s="10">
        <f t="shared" si="19"/>
        <v>670000</v>
      </c>
      <c r="G26" s="11">
        <f t="shared" si="11"/>
        <v>2.0729684908789388</v>
      </c>
      <c r="H26" s="7">
        <f t="shared" si="12"/>
        <v>1061.3598673300166</v>
      </c>
      <c r="I26" s="12">
        <f t="shared" si="13"/>
        <v>5435.489220563848</v>
      </c>
      <c r="J26" s="11">
        <f t="shared" si="14"/>
        <v>0.86235489220563855</v>
      </c>
      <c r="K26" s="11">
        <f t="shared" si="15"/>
        <v>12.437810945273633</v>
      </c>
      <c r="L26" s="7">
        <f t="shared" si="16"/>
        <v>6368.1592039800998</v>
      </c>
      <c r="M26" s="12">
        <f t="shared" si="17"/>
        <v>32612.935323383084</v>
      </c>
      <c r="N26" s="11">
        <f t="shared" si="18"/>
        <v>5.1741293532338313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customHeight="1" x14ac:dyDescent="0.15">
      <c r="A27" s="7" t="s">
        <v>14</v>
      </c>
      <c r="B27" s="7" t="s">
        <v>41</v>
      </c>
      <c r="C27" s="7">
        <v>512</v>
      </c>
      <c r="D27" s="7" t="s">
        <v>37</v>
      </c>
      <c r="E27" s="7">
        <f t="shared" si="10"/>
        <v>9.39</v>
      </c>
      <c r="F27" s="10">
        <f>1390000</f>
        <v>1390000</v>
      </c>
      <c r="G27" s="11">
        <f t="shared" si="11"/>
        <v>0.9992006394884092</v>
      </c>
      <c r="H27" s="7">
        <f t="shared" si="12"/>
        <v>511.59072741806551</v>
      </c>
      <c r="I27" s="12">
        <f t="shared" si="13"/>
        <v>6287.4500399680246</v>
      </c>
      <c r="J27" s="11">
        <f t="shared" si="14"/>
        <v>0.65227817745803351</v>
      </c>
      <c r="K27" s="11">
        <f t="shared" si="15"/>
        <v>5.9952038369304566</v>
      </c>
      <c r="L27" s="7">
        <f t="shared" si="16"/>
        <v>3069.5443645083938</v>
      </c>
      <c r="M27" s="12">
        <f t="shared" si="17"/>
        <v>37724.700239808153</v>
      </c>
      <c r="N27" s="11">
        <f t="shared" si="18"/>
        <v>3.913669064748202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customHeight="1" x14ac:dyDescent="0.15">
      <c r="A28" s="7" t="s">
        <v>20</v>
      </c>
      <c r="B28" s="7" t="s">
        <v>36</v>
      </c>
      <c r="C28" s="7">
        <v>512</v>
      </c>
      <c r="D28" s="7" t="s">
        <v>37</v>
      </c>
      <c r="E28" s="7">
        <f t="shared" si="10"/>
        <v>9.39</v>
      </c>
      <c r="F28" s="10">
        <f>7894.08</f>
        <v>7894.08</v>
      </c>
      <c r="G28" s="11">
        <f t="shared" si="11"/>
        <v>175.94056418086578</v>
      </c>
      <c r="H28" s="7">
        <f t="shared" si="12"/>
        <v>90081.568860603278</v>
      </c>
      <c r="I28" s="12">
        <f t="shared" si="13"/>
        <v>303124.47921593004</v>
      </c>
      <c r="J28" s="11">
        <f t="shared" si="14"/>
        <v>56.300980537877045</v>
      </c>
      <c r="K28" s="11">
        <f t="shared" si="15"/>
        <v>1055.6433850851945</v>
      </c>
      <c r="L28" s="7">
        <f t="shared" si="16"/>
        <v>540489.41316361958</v>
      </c>
      <c r="M28" s="12">
        <f t="shared" si="17"/>
        <v>1818746.8752955799</v>
      </c>
      <c r="N28" s="11">
        <f t="shared" si="18"/>
        <v>337.80588322726226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customHeight="1" x14ac:dyDescent="0.15">
      <c r="A29" s="7" t="s">
        <v>20</v>
      </c>
      <c r="B29" s="7" t="s">
        <v>38</v>
      </c>
      <c r="C29" s="7">
        <v>512</v>
      </c>
      <c r="D29" s="7" t="s">
        <v>37</v>
      </c>
      <c r="E29" s="7">
        <f t="shared" si="10"/>
        <v>9.39</v>
      </c>
      <c r="F29" s="10">
        <f>290000</f>
        <v>290000</v>
      </c>
      <c r="G29" s="11">
        <f t="shared" si="11"/>
        <v>4.7892720306513406</v>
      </c>
      <c r="H29" s="7">
        <f t="shared" si="12"/>
        <v>2452.1072796934864</v>
      </c>
      <c r="I29" s="12">
        <f t="shared" si="13"/>
        <v>6752.4904214559383</v>
      </c>
      <c r="J29" s="11">
        <f t="shared" si="14"/>
        <v>1.5325670498084292</v>
      </c>
      <c r="K29" s="11">
        <f t="shared" si="15"/>
        <v>28.735632183908049</v>
      </c>
      <c r="L29" s="7">
        <f t="shared" si="16"/>
        <v>14712.643678160921</v>
      </c>
      <c r="M29" s="12">
        <f t="shared" si="17"/>
        <v>40514.942528735635</v>
      </c>
      <c r="N29" s="11">
        <f t="shared" si="18"/>
        <v>9.1954022988505759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customHeight="1" x14ac:dyDescent="0.15">
      <c r="A30" s="7" t="s">
        <v>20</v>
      </c>
      <c r="B30" s="7" t="s">
        <v>40</v>
      </c>
      <c r="C30" s="7">
        <v>512</v>
      </c>
      <c r="D30" s="7" t="s">
        <v>37</v>
      </c>
      <c r="E30" s="7">
        <f t="shared" si="10"/>
        <v>9.39</v>
      </c>
      <c r="F30" s="10">
        <f>25294.42</f>
        <v>25294.42</v>
      </c>
      <c r="G30" s="11">
        <f t="shared" si="11"/>
        <v>54.908904370564301</v>
      </c>
      <c r="H30" s="7">
        <f t="shared" si="12"/>
        <v>28113.359037728922</v>
      </c>
      <c r="I30" s="12">
        <f t="shared" si="13"/>
        <v>103246.31106605947</v>
      </c>
      <c r="J30" s="11">
        <f t="shared" si="14"/>
        <v>22.842104218154752</v>
      </c>
      <c r="K30" s="11">
        <f t="shared" si="15"/>
        <v>329.4534262233858</v>
      </c>
      <c r="L30" s="7">
        <f t="shared" si="16"/>
        <v>168680.15422637353</v>
      </c>
      <c r="M30" s="12">
        <f t="shared" si="17"/>
        <v>619477.86639635672</v>
      </c>
      <c r="N30" s="11">
        <f t="shared" si="18"/>
        <v>137.0526253089285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customHeight="1" x14ac:dyDescent="0.15">
      <c r="A31" s="7" t="s">
        <v>20</v>
      </c>
      <c r="B31" s="7" t="s">
        <v>39</v>
      </c>
      <c r="C31" s="7">
        <v>512</v>
      </c>
      <c r="D31" s="7" t="s">
        <v>37</v>
      </c>
      <c r="E31" s="7">
        <f t="shared" si="10"/>
        <v>9.39</v>
      </c>
      <c r="F31" s="10">
        <f t="shared" ref="F31:F32" si="20">850000</f>
        <v>850000</v>
      </c>
      <c r="G31" s="11">
        <f t="shared" si="11"/>
        <v>1.6339869281045751</v>
      </c>
      <c r="H31" s="7">
        <f t="shared" si="12"/>
        <v>836.60130718954247</v>
      </c>
      <c r="I31" s="12">
        <f t="shared" si="13"/>
        <v>2844.4444444444443</v>
      </c>
      <c r="J31" s="11">
        <f t="shared" si="14"/>
        <v>0.6797385620915033</v>
      </c>
      <c r="K31" s="11">
        <f t="shared" si="15"/>
        <v>9.8039215686274517</v>
      </c>
      <c r="L31" s="7">
        <f t="shared" si="16"/>
        <v>5019.6078431372553</v>
      </c>
      <c r="M31" s="12">
        <f t="shared" si="17"/>
        <v>17066.666666666668</v>
      </c>
      <c r="N31" s="11">
        <f t="shared" si="18"/>
        <v>4.0784313725490193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customHeight="1" x14ac:dyDescent="0.15">
      <c r="A32" s="7" t="s">
        <v>20</v>
      </c>
      <c r="B32" s="7" t="s">
        <v>40</v>
      </c>
      <c r="C32" s="7">
        <v>512</v>
      </c>
      <c r="D32" s="7" t="s">
        <v>37</v>
      </c>
      <c r="E32" s="7">
        <f t="shared" si="10"/>
        <v>9.39</v>
      </c>
      <c r="F32" s="10">
        <f t="shared" si="20"/>
        <v>850000</v>
      </c>
      <c r="G32" s="11">
        <f t="shared" si="11"/>
        <v>1.6339869281045751</v>
      </c>
      <c r="H32" s="7">
        <f t="shared" si="12"/>
        <v>836.60130718954247</v>
      </c>
      <c r="I32" s="12">
        <f t="shared" si="13"/>
        <v>3426.9281045751636</v>
      </c>
      <c r="J32" s="11">
        <f t="shared" si="14"/>
        <v>0.6797385620915033</v>
      </c>
      <c r="K32" s="11">
        <f t="shared" si="15"/>
        <v>9.8039215686274517</v>
      </c>
      <c r="L32" s="7">
        <f t="shared" si="16"/>
        <v>5019.6078431372553</v>
      </c>
      <c r="M32" s="12">
        <f t="shared" si="17"/>
        <v>20561.568627450983</v>
      </c>
      <c r="N32" s="11">
        <f t="shared" si="18"/>
        <v>4.0784313725490193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15">
      <c r="A33" s="7" t="s">
        <v>23</v>
      </c>
      <c r="B33" s="7" t="s">
        <v>36</v>
      </c>
      <c r="C33" s="7">
        <v>512</v>
      </c>
      <c r="D33" s="7" t="s">
        <v>37</v>
      </c>
      <c r="E33" s="7">
        <f t="shared" si="10"/>
        <v>9.39</v>
      </c>
      <c r="F33" s="10">
        <f>370000</f>
        <v>370000</v>
      </c>
      <c r="G33" s="11">
        <f t="shared" si="11"/>
        <v>3.7537537537537538</v>
      </c>
      <c r="H33" s="7">
        <f t="shared" si="12"/>
        <v>1921.9219219219219</v>
      </c>
      <c r="I33" s="12">
        <f t="shared" si="13"/>
        <v>4766.3663663663665</v>
      </c>
      <c r="J33" s="11">
        <f t="shared" si="14"/>
        <v>1.2012012012012012</v>
      </c>
      <c r="K33" s="11">
        <f t="shared" si="15"/>
        <v>22.522522522522522</v>
      </c>
      <c r="L33" s="7">
        <f t="shared" si="16"/>
        <v>11531.531531531531</v>
      </c>
      <c r="M33" s="12">
        <f t="shared" si="17"/>
        <v>28598.198198198195</v>
      </c>
      <c r="N33" s="11">
        <f t="shared" si="18"/>
        <v>7.2072072072072064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15">
      <c r="A34" s="7" t="s">
        <v>23</v>
      </c>
      <c r="B34" s="7" t="s">
        <v>39</v>
      </c>
      <c r="C34" s="7">
        <v>512</v>
      </c>
      <c r="D34" s="7" t="s">
        <v>37</v>
      </c>
      <c r="E34" s="7">
        <f t="shared" si="10"/>
        <v>9.39</v>
      </c>
      <c r="F34" s="10">
        <f>540000</f>
        <v>540000</v>
      </c>
      <c r="G34" s="11">
        <f t="shared" si="11"/>
        <v>2.57201646090535</v>
      </c>
      <c r="H34" s="7">
        <f t="shared" si="12"/>
        <v>1316.8724279835392</v>
      </c>
      <c r="I34" s="12">
        <f t="shared" si="13"/>
        <v>4837.8600823045272</v>
      </c>
      <c r="J34" s="11">
        <f t="shared" si="14"/>
        <v>1.0699588477366258</v>
      </c>
      <c r="K34" s="11">
        <f t="shared" si="15"/>
        <v>15.432098765432098</v>
      </c>
      <c r="L34" s="7">
        <f t="shared" si="16"/>
        <v>7901.2345679012342</v>
      </c>
      <c r="M34" s="12">
        <f t="shared" si="17"/>
        <v>29027.160493827159</v>
      </c>
      <c r="N34" s="11">
        <f t="shared" si="18"/>
        <v>6.4197530864197532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15">
      <c r="A35" s="7" t="s">
        <v>23</v>
      </c>
      <c r="B35" s="7" t="s">
        <v>42</v>
      </c>
      <c r="C35" s="7">
        <v>512</v>
      </c>
      <c r="D35" s="7" t="s">
        <v>37</v>
      </c>
      <c r="E35" s="7">
        <f t="shared" si="10"/>
        <v>9.39</v>
      </c>
      <c r="F35" s="10">
        <f>450000</f>
        <v>450000</v>
      </c>
      <c r="G35" s="11">
        <f t="shared" si="11"/>
        <v>3.0864197530864197</v>
      </c>
      <c r="H35" s="7">
        <f t="shared" si="12"/>
        <v>1580.2469135802469</v>
      </c>
      <c r="I35" s="12">
        <f t="shared" si="13"/>
        <v>5505.1851851851852</v>
      </c>
      <c r="J35" s="11">
        <f t="shared" si="14"/>
        <v>1.2839506172839505</v>
      </c>
      <c r="K35" s="11">
        <f t="shared" si="15"/>
        <v>18.518518518518519</v>
      </c>
      <c r="L35" s="7">
        <f t="shared" si="16"/>
        <v>9481.4814814814818</v>
      </c>
      <c r="M35" s="12">
        <f t="shared" si="17"/>
        <v>33031.111111111117</v>
      </c>
      <c r="N35" s="11">
        <f t="shared" si="18"/>
        <v>7.7037037037037042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15">
      <c r="A36" s="7" t="s">
        <v>23</v>
      </c>
      <c r="B36" s="7" t="s">
        <v>40</v>
      </c>
      <c r="C36" s="7">
        <v>512</v>
      </c>
      <c r="D36" s="7" t="s">
        <v>37</v>
      </c>
      <c r="E36" s="7">
        <f t="shared" si="10"/>
        <v>9.39</v>
      </c>
      <c r="F36" s="10">
        <f>540000</f>
        <v>540000</v>
      </c>
      <c r="G36" s="11">
        <f t="shared" si="11"/>
        <v>2.57201646090535</v>
      </c>
      <c r="H36" s="7">
        <f t="shared" si="12"/>
        <v>1316.8724279835392</v>
      </c>
      <c r="I36" s="12">
        <f t="shared" si="13"/>
        <v>7517.6954732510294</v>
      </c>
      <c r="J36" s="11">
        <f t="shared" si="14"/>
        <v>1.0699588477366258</v>
      </c>
      <c r="K36" s="11">
        <f t="shared" si="15"/>
        <v>15.432098765432098</v>
      </c>
      <c r="L36" s="7">
        <f t="shared" si="16"/>
        <v>7901.2345679012342</v>
      </c>
      <c r="M36" s="12">
        <f t="shared" si="17"/>
        <v>45106.172839506173</v>
      </c>
      <c r="N36" s="11">
        <f t="shared" si="18"/>
        <v>6.4197530864197532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15">
      <c r="A37" s="7" t="s">
        <v>14</v>
      </c>
      <c r="B37" s="7" t="s">
        <v>36</v>
      </c>
      <c r="C37" s="7">
        <v>512</v>
      </c>
      <c r="D37" s="7" t="s">
        <v>43</v>
      </c>
      <c r="E37" s="7">
        <f t="shared" ref="E37:E50" si="21">4.4*3</f>
        <v>13.200000000000001</v>
      </c>
      <c r="F37" s="10">
        <f>280000</f>
        <v>280000</v>
      </c>
      <c r="G37" s="11">
        <f t="shared" si="11"/>
        <v>4.9603174603174605</v>
      </c>
      <c r="H37" s="7">
        <f t="shared" si="12"/>
        <v>2539.6825396825398</v>
      </c>
      <c r="I37" s="12">
        <f t="shared" ref="I37:I50" si="22">H37*E6</f>
        <v>7771.4285714285716</v>
      </c>
      <c r="J37" s="11">
        <f t="shared" ref="J37:J50" si="23">(H37*I6)/1000000</f>
        <v>1.5873015873015874</v>
      </c>
      <c r="K37" s="11">
        <f t="shared" si="15"/>
        <v>29.761904761904763</v>
      </c>
      <c r="L37" s="7">
        <f t="shared" si="16"/>
        <v>15238.095238095239</v>
      </c>
      <c r="M37" s="12">
        <f t="shared" ref="M37:M50" si="24">L37*E6</f>
        <v>46628.571428571428</v>
      </c>
      <c r="N37" s="11">
        <f t="shared" ref="N37:N50" si="25">(L37*I6)/1000000</f>
        <v>9.5238095238095237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15">
      <c r="A38" s="7" t="s">
        <v>14</v>
      </c>
      <c r="B38" s="7" t="s">
        <v>38</v>
      </c>
      <c r="C38" s="7">
        <v>512</v>
      </c>
      <c r="D38" s="7" t="s">
        <v>43</v>
      </c>
      <c r="E38" s="7">
        <f t="shared" si="21"/>
        <v>13.200000000000001</v>
      </c>
      <c r="F38" s="10">
        <f>420000</f>
        <v>420000</v>
      </c>
      <c r="G38" s="11">
        <f t="shared" si="11"/>
        <v>3.306878306878307</v>
      </c>
      <c r="H38" s="7">
        <f t="shared" si="12"/>
        <v>1693.1216931216932</v>
      </c>
      <c r="I38" s="12">
        <f t="shared" si="22"/>
        <v>6605.2910052910056</v>
      </c>
      <c r="J38" s="11">
        <f t="shared" si="23"/>
        <v>1.0582010582010584</v>
      </c>
      <c r="K38" s="11">
        <f t="shared" si="15"/>
        <v>19.841269841269842</v>
      </c>
      <c r="L38" s="7">
        <f t="shared" si="16"/>
        <v>10158.730158730159</v>
      </c>
      <c r="M38" s="12">
        <f t="shared" si="24"/>
        <v>39631.746031746035</v>
      </c>
      <c r="N38" s="11">
        <f t="shared" si="25"/>
        <v>6.3492063492063497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15">
      <c r="A39" s="7" t="s">
        <v>14</v>
      </c>
      <c r="B39" s="7" t="s">
        <v>39</v>
      </c>
      <c r="C39" s="7">
        <v>512</v>
      </c>
      <c r="D39" s="7" t="s">
        <v>43</v>
      </c>
      <c r="E39" s="7">
        <f t="shared" si="21"/>
        <v>13.200000000000001</v>
      </c>
      <c r="F39" s="13">
        <f t="shared" ref="F39:F40" si="26">980000</f>
        <v>980000</v>
      </c>
      <c r="G39" s="11">
        <f t="shared" si="11"/>
        <v>1.4172335600907031</v>
      </c>
      <c r="H39" s="7">
        <f t="shared" si="12"/>
        <v>725.62358276643999</v>
      </c>
      <c r="I39" s="12">
        <f t="shared" si="22"/>
        <v>2973.2426303854882</v>
      </c>
      <c r="J39" s="11">
        <f t="shared" si="23"/>
        <v>0.58956916099773249</v>
      </c>
      <c r="K39" s="11">
        <f t="shared" si="15"/>
        <v>8.5034013605442169</v>
      </c>
      <c r="L39" s="7">
        <f t="shared" si="16"/>
        <v>4353.7414965986391</v>
      </c>
      <c r="M39" s="12">
        <f t="shared" si="24"/>
        <v>17839.455782312925</v>
      </c>
      <c r="N39" s="11">
        <f t="shared" si="25"/>
        <v>3.5374149659863945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15">
      <c r="A40" s="7" t="s">
        <v>14</v>
      </c>
      <c r="B40" s="7" t="s">
        <v>40</v>
      </c>
      <c r="C40" s="7">
        <v>512</v>
      </c>
      <c r="D40" s="7" t="s">
        <v>43</v>
      </c>
      <c r="E40" s="7">
        <f t="shared" si="21"/>
        <v>13.200000000000001</v>
      </c>
      <c r="F40" s="13">
        <f t="shared" si="26"/>
        <v>980000</v>
      </c>
      <c r="G40" s="11">
        <f t="shared" si="11"/>
        <v>1.4172335600907031</v>
      </c>
      <c r="H40" s="7">
        <f t="shared" si="12"/>
        <v>725.62358276643999</v>
      </c>
      <c r="I40" s="12">
        <f t="shared" si="22"/>
        <v>3716.0997732426308</v>
      </c>
      <c r="J40" s="11">
        <f t="shared" si="23"/>
        <v>0.58956916099773249</v>
      </c>
      <c r="K40" s="11">
        <f t="shared" si="15"/>
        <v>8.5034013605442169</v>
      </c>
      <c r="L40" s="7">
        <f t="shared" si="16"/>
        <v>4353.7414965986391</v>
      </c>
      <c r="M40" s="12">
        <f t="shared" si="24"/>
        <v>22296.59863945578</v>
      </c>
      <c r="N40" s="11">
        <f t="shared" si="25"/>
        <v>3.5374149659863945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15">
      <c r="A41" s="7" t="s">
        <v>14</v>
      </c>
      <c r="B41" s="7" t="s">
        <v>41</v>
      </c>
      <c r="C41" s="7">
        <v>512</v>
      </c>
      <c r="D41" s="7" t="s">
        <v>43</v>
      </c>
      <c r="E41" s="7">
        <f t="shared" si="21"/>
        <v>13.200000000000001</v>
      </c>
      <c r="F41" s="13">
        <f>2080000</f>
        <v>2080000</v>
      </c>
      <c r="G41" s="11">
        <f t="shared" si="11"/>
        <v>0.66773504273504269</v>
      </c>
      <c r="H41" s="7">
        <f t="shared" si="12"/>
        <v>341.88034188034186</v>
      </c>
      <c r="I41" s="12">
        <f t="shared" si="22"/>
        <v>4201.7094017094014</v>
      </c>
      <c r="J41" s="11">
        <f t="shared" si="23"/>
        <v>0.4358974358974359</v>
      </c>
      <c r="K41" s="11">
        <f t="shared" si="15"/>
        <v>4.0064102564102564</v>
      </c>
      <c r="L41" s="7">
        <f t="shared" si="16"/>
        <v>2051.2820512820513</v>
      </c>
      <c r="M41" s="12">
        <f t="shared" si="24"/>
        <v>25210.25641025641</v>
      </c>
      <c r="N41" s="11">
        <f t="shared" si="25"/>
        <v>2.6153846153846154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15">
      <c r="A42" s="7" t="s">
        <v>20</v>
      </c>
      <c r="B42" s="7" t="s">
        <v>36</v>
      </c>
      <c r="C42" s="7">
        <v>512</v>
      </c>
      <c r="D42" s="7" t="s">
        <v>43</v>
      </c>
      <c r="E42" s="7">
        <f t="shared" si="21"/>
        <v>13.200000000000001</v>
      </c>
      <c r="F42" s="13">
        <f>11817.91</f>
        <v>11817.91</v>
      </c>
      <c r="G42" s="11">
        <f t="shared" si="11"/>
        <v>117.52407057499074</v>
      </c>
      <c r="H42" s="7">
        <f t="shared" si="12"/>
        <v>60172.324134395261</v>
      </c>
      <c r="I42" s="12">
        <f t="shared" si="22"/>
        <v>202479.87071224008</v>
      </c>
      <c r="J42" s="11">
        <f t="shared" si="23"/>
        <v>37.607702583997039</v>
      </c>
      <c r="K42" s="11">
        <f t="shared" si="15"/>
        <v>705.1444234499445</v>
      </c>
      <c r="L42" s="7">
        <f t="shared" si="16"/>
        <v>361033.94480637158</v>
      </c>
      <c r="M42" s="12">
        <f t="shared" si="24"/>
        <v>1214879.2242734404</v>
      </c>
      <c r="N42" s="11">
        <f t="shared" si="25"/>
        <v>225.64621550398223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15">
      <c r="A43" s="7" t="s">
        <v>20</v>
      </c>
      <c r="B43" s="7" t="s">
        <v>38</v>
      </c>
      <c r="C43" s="7">
        <v>512</v>
      </c>
      <c r="D43" s="7" t="s">
        <v>43</v>
      </c>
      <c r="E43" s="7">
        <f t="shared" si="21"/>
        <v>13.200000000000001</v>
      </c>
      <c r="F43" s="13">
        <f>420000</f>
        <v>420000</v>
      </c>
      <c r="G43" s="11">
        <f t="shared" si="11"/>
        <v>3.306878306878307</v>
      </c>
      <c r="H43" s="7">
        <f t="shared" si="12"/>
        <v>1693.1216931216932</v>
      </c>
      <c r="I43" s="12">
        <f t="shared" si="22"/>
        <v>4662.4338624338625</v>
      </c>
      <c r="J43" s="11">
        <f t="shared" si="23"/>
        <v>1.0582010582010584</v>
      </c>
      <c r="K43" s="11">
        <f t="shared" si="15"/>
        <v>19.841269841269842</v>
      </c>
      <c r="L43" s="7">
        <f t="shared" si="16"/>
        <v>10158.730158730159</v>
      </c>
      <c r="M43" s="12">
        <f t="shared" si="24"/>
        <v>27974.603174603177</v>
      </c>
      <c r="N43" s="11">
        <f t="shared" si="25"/>
        <v>6.3492063492063497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15">
      <c r="A44" s="7" t="s">
        <v>20</v>
      </c>
      <c r="B44" s="7" t="s">
        <v>40</v>
      </c>
      <c r="C44" s="7">
        <v>512</v>
      </c>
      <c r="D44" s="7" t="s">
        <v>43</v>
      </c>
      <c r="E44" s="7">
        <f t="shared" si="21"/>
        <v>13.200000000000001</v>
      </c>
      <c r="F44" s="13">
        <f>37836.97</f>
        <v>37836.97</v>
      </c>
      <c r="G44" s="11">
        <f t="shared" si="11"/>
        <v>36.707191111996785</v>
      </c>
      <c r="H44" s="7">
        <f t="shared" si="12"/>
        <v>18794.081849342354</v>
      </c>
      <c r="I44" s="12">
        <f t="shared" si="22"/>
        <v>69021.265591709787</v>
      </c>
      <c r="J44" s="11">
        <f t="shared" si="23"/>
        <v>15.270191502590661</v>
      </c>
      <c r="K44" s="11">
        <f t="shared" si="15"/>
        <v>220.2431466719807</v>
      </c>
      <c r="L44" s="7">
        <f t="shared" si="16"/>
        <v>112764.49109605412</v>
      </c>
      <c r="M44" s="12">
        <f t="shared" si="24"/>
        <v>414127.59355025872</v>
      </c>
      <c r="N44" s="11">
        <f t="shared" si="25"/>
        <v>91.621149015543963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15">
      <c r="A45" s="7" t="s">
        <v>20</v>
      </c>
      <c r="B45" s="7" t="s">
        <v>39</v>
      </c>
      <c r="C45" s="7">
        <v>512</v>
      </c>
      <c r="D45" s="7" t="s">
        <v>43</v>
      </c>
      <c r="E45" s="7">
        <f t="shared" si="21"/>
        <v>13.200000000000001</v>
      </c>
      <c r="F45" s="13">
        <f t="shared" ref="F45:F46" si="27">1270000</f>
        <v>1270000</v>
      </c>
      <c r="G45" s="11">
        <f t="shared" si="11"/>
        <v>1.0936132983377078</v>
      </c>
      <c r="H45" s="7">
        <f t="shared" si="12"/>
        <v>559.9300087489064</v>
      </c>
      <c r="I45" s="12">
        <f t="shared" si="22"/>
        <v>1903.7620297462818</v>
      </c>
      <c r="J45" s="11">
        <f t="shared" si="23"/>
        <v>0.45494313210848641</v>
      </c>
      <c r="K45" s="11">
        <f t="shared" si="15"/>
        <v>6.561679790026246</v>
      </c>
      <c r="L45" s="7">
        <f t="shared" si="16"/>
        <v>3359.580052493438</v>
      </c>
      <c r="M45" s="12">
        <f t="shared" si="24"/>
        <v>11422.572178477689</v>
      </c>
      <c r="N45" s="11">
        <f t="shared" si="25"/>
        <v>2.7296587926509184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15">
      <c r="A46" s="7" t="s">
        <v>20</v>
      </c>
      <c r="B46" s="7" t="s">
        <v>40</v>
      </c>
      <c r="C46" s="7">
        <v>512</v>
      </c>
      <c r="D46" s="7" t="s">
        <v>43</v>
      </c>
      <c r="E46" s="7">
        <f t="shared" si="21"/>
        <v>13.200000000000001</v>
      </c>
      <c r="F46" s="13">
        <f t="shared" si="27"/>
        <v>1270000</v>
      </c>
      <c r="G46" s="11">
        <f t="shared" si="11"/>
        <v>1.0936132983377078</v>
      </c>
      <c r="H46" s="7">
        <f t="shared" si="12"/>
        <v>559.9300087489064</v>
      </c>
      <c r="I46" s="12">
        <f t="shared" si="22"/>
        <v>2293.6132983377079</v>
      </c>
      <c r="J46" s="11">
        <f t="shared" si="23"/>
        <v>0.45494313210848641</v>
      </c>
      <c r="K46" s="11">
        <f t="shared" si="15"/>
        <v>6.561679790026246</v>
      </c>
      <c r="L46" s="7">
        <f t="shared" si="16"/>
        <v>3359.580052493438</v>
      </c>
      <c r="M46" s="12">
        <f t="shared" si="24"/>
        <v>13761.679790026246</v>
      </c>
      <c r="N46" s="11">
        <f t="shared" si="25"/>
        <v>2.7296587926509184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15">
      <c r="A47" s="7" t="s">
        <v>23</v>
      </c>
      <c r="B47" s="7" t="s">
        <v>36</v>
      </c>
      <c r="C47" s="7">
        <v>512</v>
      </c>
      <c r="D47" s="7" t="s">
        <v>43</v>
      </c>
      <c r="E47" s="7">
        <f t="shared" si="21"/>
        <v>13.200000000000001</v>
      </c>
      <c r="F47" s="13">
        <f>540000</f>
        <v>540000</v>
      </c>
      <c r="G47" s="11">
        <f t="shared" si="11"/>
        <v>2.57201646090535</v>
      </c>
      <c r="H47" s="7">
        <f t="shared" si="12"/>
        <v>1316.8724279835392</v>
      </c>
      <c r="I47" s="12">
        <f t="shared" si="22"/>
        <v>3265.8436213991772</v>
      </c>
      <c r="J47" s="11">
        <f t="shared" si="23"/>
        <v>0.82304526748971196</v>
      </c>
      <c r="K47" s="11">
        <f t="shared" si="15"/>
        <v>15.432098765432098</v>
      </c>
      <c r="L47" s="7">
        <f t="shared" si="16"/>
        <v>7901.2345679012342</v>
      </c>
      <c r="M47" s="12">
        <f t="shared" si="24"/>
        <v>19595.06172839506</v>
      </c>
      <c r="N47" s="11">
        <f t="shared" si="25"/>
        <v>4.9382716049382713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15">
      <c r="A48" s="7" t="s">
        <v>23</v>
      </c>
      <c r="B48" s="7" t="s">
        <v>39</v>
      </c>
      <c r="C48" s="7">
        <v>512</v>
      </c>
      <c r="D48" s="7" t="s">
        <v>43</v>
      </c>
      <c r="E48" s="7">
        <f t="shared" si="21"/>
        <v>13.200000000000001</v>
      </c>
      <c r="F48" s="13">
        <f>740000</f>
        <v>740000</v>
      </c>
      <c r="G48" s="11">
        <f t="shared" si="11"/>
        <v>1.8768768768768769</v>
      </c>
      <c r="H48" s="7">
        <f t="shared" si="12"/>
        <v>960.96096096096096</v>
      </c>
      <c r="I48" s="12">
        <f t="shared" si="22"/>
        <v>3530.3303303303305</v>
      </c>
      <c r="J48" s="11">
        <f t="shared" si="23"/>
        <v>0.78078078078078084</v>
      </c>
      <c r="K48" s="11">
        <f t="shared" si="15"/>
        <v>11.261261261261261</v>
      </c>
      <c r="L48" s="7">
        <f t="shared" si="16"/>
        <v>5765.7657657657655</v>
      </c>
      <c r="M48" s="12">
        <f t="shared" si="24"/>
        <v>21181.981981981982</v>
      </c>
      <c r="N48" s="11">
        <f t="shared" si="25"/>
        <v>4.6846846846846848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x14ac:dyDescent="0.15">
      <c r="A49" s="7" t="s">
        <v>23</v>
      </c>
      <c r="B49" s="7" t="s">
        <v>42</v>
      </c>
      <c r="C49" s="7">
        <v>512</v>
      </c>
      <c r="D49" s="7" t="s">
        <v>43</v>
      </c>
      <c r="E49" s="7">
        <f t="shared" si="21"/>
        <v>13.200000000000001</v>
      </c>
      <c r="F49" s="13">
        <f>580000</f>
        <v>580000</v>
      </c>
      <c r="G49" s="11">
        <f t="shared" si="11"/>
        <v>2.3946360153256703</v>
      </c>
      <c r="H49" s="7">
        <f t="shared" si="12"/>
        <v>1226.0536398467432</v>
      </c>
      <c r="I49" s="12">
        <f t="shared" si="22"/>
        <v>4271.2643678160921</v>
      </c>
      <c r="J49" s="11">
        <f t="shared" si="23"/>
        <v>0.99616858237547878</v>
      </c>
      <c r="K49" s="11">
        <f t="shared" si="15"/>
        <v>14.367816091954024</v>
      </c>
      <c r="L49" s="7">
        <f t="shared" si="16"/>
        <v>7356.3218390804604</v>
      </c>
      <c r="M49" s="12">
        <f t="shared" si="24"/>
        <v>25627.586206896554</v>
      </c>
      <c r="N49" s="11">
        <f t="shared" si="25"/>
        <v>5.9770114942528743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x14ac:dyDescent="0.15">
      <c r="A50" s="7" t="s">
        <v>23</v>
      </c>
      <c r="B50" s="7" t="s">
        <v>40</v>
      </c>
      <c r="C50" s="7">
        <v>512</v>
      </c>
      <c r="D50" s="7" t="s">
        <v>43</v>
      </c>
      <c r="E50" s="7">
        <f t="shared" si="21"/>
        <v>13.200000000000001</v>
      </c>
      <c r="F50" s="13">
        <f>740000</f>
        <v>740000</v>
      </c>
      <c r="G50" s="11">
        <f t="shared" si="11"/>
        <v>1.8768768768768769</v>
      </c>
      <c r="H50" s="7">
        <f t="shared" si="12"/>
        <v>960.96096096096096</v>
      </c>
      <c r="I50" s="12">
        <f t="shared" si="22"/>
        <v>5485.8858858858857</v>
      </c>
      <c r="J50" s="11">
        <f t="shared" si="23"/>
        <v>0.78078078078078084</v>
      </c>
      <c r="K50" s="11">
        <f t="shared" si="15"/>
        <v>11.261261261261261</v>
      </c>
      <c r="L50" s="7">
        <f t="shared" si="16"/>
        <v>5765.7657657657655</v>
      </c>
      <c r="M50" s="12">
        <f t="shared" si="24"/>
        <v>32915.315315315318</v>
      </c>
      <c r="N50" s="11">
        <f t="shared" si="25"/>
        <v>4.6846846846846848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x14ac:dyDescent="0.15">
      <c r="A51" s="7" t="s">
        <v>14</v>
      </c>
      <c r="B51" s="7" t="s">
        <v>36</v>
      </c>
      <c r="C51" s="7">
        <v>512</v>
      </c>
      <c r="D51" s="7" t="s">
        <v>44</v>
      </c>
      <c r="E51" s="7">
        <f t="shared" ref="E51:E55" si="28">3.29*3</f>
        <v>9.870000000000001</v>
      </c>
      <c r="F51" s="10">
        <f>280000</f>
        <v>280000</v>
      </c>
      <c r="G51" s="11">
        <f t="shared" si="11"/>
        <v>4.9603174603174605</v>
      </c>
      <c r="H51" s="7">
        <f t="shared" si="12"/>
        <v>2539.6825396825398</v>
      </c>
      <c r="I51" s="12">
        <f t="shared" ref="I51:I64" si="29">H51*E6</f>
        <v>7771.4285714285716</v>
      </c>
      <c r="J51" s="11">
        <f t="shared" ref="J51:J64" si="30">(H51*I6)/1000000</f>
        <v>1.5873015873015874</v>
      </c>
      <c r="K51" s="11">
        <f t="shared" si="15"/>
        <v>29.761904761904763</v>
      </c>
      <c r="L51" s="7">
        <f t="shared" si="16"/>
        <v>15238.095238095239</v>
      </c>
      <c r="M51" s="12">
        <f t="shared" ref="M51:M64" si="31">L51*E6</f>
        <v>46628.571428571428</v>
      </c>
      <c r="N51" s="11">
        <f t="shared" ref="N51:N64" si="32">(L51*I6)/1000000</f>
        <v>9.5238095238095237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 x14ac:dyDescent="0.15">
      <c r="A52" s="7" t="s">
        <v>14</v>
      </c>
      <c r="B52" s="7" t="s">
        <v>38</v>
      </c>
      <c r="C52" s="7">
        <v>512</v>
      </c>
      <c r="D52" s="7" t="s">
        <v>44</v>
      </c>
      <c r="E52" s="7">
        <f t="shared" si="28"/>
        <v>9.870000000000001</v>
      </c>
      <c r="F52" s="10">
        <f>400000</f>
        <v>400000</v>
      </c>
      <c r="G52" s="11">
        <f t="shared" si="11"/>
        <v>3.4722222222222223</v>
      </c>
      <c r="H52" s="7">
        <f t="shared" si="12"/>
        <v>1777.7777777777778</v>
      </c>
      <c r="I52" s="12">
        <f t="shared" si="29"/>
        <v>6935.5555555555557</v>
      </c>
      <c r="J52" s="11">
        <f t="shared" si="30"/>
        <v>1.1111111111111112</v>
      </c>
      <c r="K52" s="11">
        <f t="shared" si="15"/>
        <v>20.833333333333332</v>
      </c>
      <c r="L52" s="7">
        <f t="shared" si="16"/>
        <v>10666.666666666666</v>
      </c>
      <c r="M52" s="12">
        <f t="shared" si="31"/>
        <v>41613.333333333328</v>
      </c>
      <c r="N52" s="11">
        <f t="shared" si="32"/>
        <v>6.6666666666666661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 x14ac:dyDescent="0.15">
      <c r="A53" s="7" t="s">
        <v>14</v>
      </c>
      <c r="B53" s="7" t="s">
        <v>39</v>
      </c>
      <c r="C53" s="7">
        <v>512</v>
      </c>
      <c r="D53" s="7" t="s">
        <v>44</v>
      </c>
      <c r="E53" s="7">
        <f t="shared" si="28"/>
        <v>9.870000000000001</v>
      </c>
      <c r="F53" s="13">
        <f t="shared" ref="F53:F54" si="33">940000</f>
        <v>940000</v>
      </c>
      <c r="G53" s="11">
        <f t="shared" si="11"/>
        <v>1.4775413711583922</v>
      </c>
      <c r="H53" s="7">
        <f t="shared" si="12"/>
        <v>756.50118203309682</v>
      </c>
      <c r="I53" s="12">
        <f t="shared" si="29"/>
        <v>3099.7635933806146</v>
      </c>
      <c r="J53" s="11">
        <f t="shared" si="30"/>
        <v>0.61465721040189114</v>
      </c>
      <c r="K53" s="11">
        <f t="shared" si="15"/>
        <v>8.8652482269503547</v>
      </c>
      <c r="L53" s="7">
        <f t="shared" si="16"/>
        <v>4539.0070921985816</v>
      </c>
      <c r="M53" s="12">
        <f t="shared" si="31"/>
        <v>18598.581560283688</v>
      </c>
      <c r="N53" s="11">
        <f t="shared" si="32"/>
        <v>3.6879432624113475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 x14ac:dyDescent="0.15">
      <c r="A54" s="7" t="s">
        <v>14</v>
      </c>
      <c r="B54" s="7" t="s">
        <v>40</v>
      </c>
      <c r="C54" s="7">
        <v>512</v>
      </c>
      <c r="D54" s="7" t="s">
        <v>44</v>
      </c>
      <c r="E54" s="7">
        <f t="shared" si="28"/>
        <v>9.870000000000001</v>
      </c>
      <c r="F54" s="13">
        <f t="shared" si="33"/>
        <v>940000</v>
      </c>
      <c r="G54" s="11">
        <f t="shared" si="11"/>
        <v>1.4775413711583922</v>
      </c>
      <c r="H54" s="7">
        <f t="shared" si="12"/>
        <v>756.50118203309682</v>
      </c>
      <c r="I54" s="12">
        <f t="shared" si="29"/>
        <v>3874.2316784869972</v>
      </c>
      <c r="J54" s="11">
        <f t="shared" si="30"/>
        <v>0.61465721040189114</v>
      </c>
      <c r="K54" s="11">
        <f t="shared" si="15"/>
        <v>8.8652482269503547</v>
      </c>
      <c r="L54" s="7">
        <f t="shared" si="16"/>
        <v>4539.0070921985816</v>
      </c>
      <c r="M54" s="12">
        <f t="shared" si="31"/>
        <v>23245.390070921985</v>
      </c>
      <c r="N54" s="11">
        <f t="shared" si="32"/>
        <v>3.6879432624113475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 x14ac:dyDescent="0.15">
      <c r="A55" s="7" t="s">
        <v>14</v>
      </c>
      <c r="B55" s="7" t="s">
        <v>41</v>
      </c>
      <c r="C55" s="7">
        <v>512</v>
      </c>
      <c r="D55" s="7" t="s">
        <v>44</v>
      </c>
      <c r="E55" s="7">
        <f t="shared" si="28"/>
        <v>9.870000000000001</v>
      </c>
      <c r="F55" s="13">
        <f>1970000</f>
        <v>1970000</v>
      </c>
      <c r="G55" s="11">
        <f t="shared" si="11"/>
        <v>0.70501974055273553</v>
      </c>
      <c r="H55" s="7">
        <f t="shared" si="12"/>
        <v>360.97010716300059</v>
      </c>
      <c r="I55" s="12">
        <f t="shared" si="29"/>
        <v>4436.3226170332773</v>
      </c>
      <c r="J55" s="11">
        <f t="shared" si="30"/>
        <v>0.46023688663282575</v>
      </c>
      <c r="K55" s="11">
        <f t="shared" si="15"/>
        <v>4.230118443316413</v>
      </c>
      <c r="L55" s="7">
        <f t="shared" si="16"/>
        <v>2165.8206429780034</v>
      </c>
      <c r="M55" s="12">
        <f t="shared" si="31"/>
        <v>26617.935702199662</v>
      </c>
      <c r="N55" s="11">
        <f t="shared" si="32"/>
        <v>2.7614213197969542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3" x14ac:dyDescent="0.15">
      <c r="A56" s="7" t="s">
        <v>20</v>
      </c>
      <c r="B56" s="7" t="s">
        <v>36</v>
      </c>
      <c r="C56" s="7">
        <v>512</v>
      </c>
      <c r="D56" s="7" t="s">
        <v>44</v>
      </c>
      <c r="E56" s="7">
        <f>3.45*3</f>
        <v>10.350000000000001</v>
      </c>
      <c r="F56" s="13">
        <f>10481.69</f>
        <v>10481.69</v>
      </c>
      <c r="G56" s="11">
        <f t="shared" si="11"/>
        <v>132.506197844898</v>
      </c>
      <c r="H56" s="7">
        <f t="shared" si="12"/>
        <v>67843.173296587775</v>
      </c>
      <c r="I56" s="12">
        <f t="shared" si="29"/>
        <v>228292.27814301787</v>
      </c>
      <c r="J56" s="11">
        <f t="shared" si="30"/>
        <v>42.401983310367363</v>
      </c>
      <c r="K56" s="11">
        <f t="shared" si="15"/>
        <v>795.03718706938798</v>
      </c>
      <c r="L56" s="7">
        <f t="shared" si="16"/>
        <v>407059.03977952665</v>
      </c>
      <c r="M56" s="12">
        <f t="shared" si="31"/>
        <v>1369753.6688581072</v>
      </c>
      <c r="N56" s="11">
        <f t="shared" si="32"/>
        <v>254.41189986220417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3" x14ac:dyDescent="0.15">
      <c r="A57" s="7" t="s">
        <v>20</v>
      </c>
      <c r="B57" s="7" t="s">
        <v>38</v>
      </c>
      <c r="C57" s="7">
        <v>512</v>
      </c>
      <c r="D57" s="7" t="s">
        <v>44</v>
      </c>
      <c r="E57" s="7">
        <f>3.29*3</f>
        <v>9.870000000000001</v>
      </c>
      <c r="F57" s="13">
        <f>400000</f>
        <v>400000</v>
      </c>
      <c r="G57" s="11">
        <f t="shared" si="11"/>
        <v>3.4722222222222223</v>
      </c>
      <c r="H57" s="7">
        <f t="shared" si="12"/>
        <v>1777.7777777777778</v>
      </c>
      <c r="I57" s="12">
        <f t="shared" si="29"/>
        <v>4895.5555555555557</v>
      </c>
      <c r="J57" s="11">
        <f t="shared" si="30"/>
        <v>1.1111111111111112</v>
      </c>
      <c r="K57" s="11">
        <f t="shared" si="15"/>
        <v>20.833333333333332</v>
      </c>
      <c r="L57" s="7">
        <f t="shared" si="16"/>
        <v>10666.666666666666</v>
      </c>
      <c r="M57" s="12">
        <f t="shared" si="31"/>
        <v>29373.333333333332</v>
      </c>
      <c r="N57" s="11">
        <f t="shared" si="32"/>
        <v>6.6666666666666661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3" x14ac:dyDescent="0.15">
      <c r="A58" s="7" t="s">
        <v>20</v>
      </c>
      <c r="B58" s="7" t="s">
        <v>40</v>
      </c>
      <c r="C58" s="7">
        <v>512</v>
      </c>
      <c r="D58" s="7" t="s">
        <v>44</v>
      </c>
      <c r="E58" s="7">
        <f>3.45*3</f>
        <v>10.350000000000001</v>
      </c>
      <c r="F58" s="13">
        <f>32392.35</f>
        <v>32392.35</v>
      </c>
      <c r="G58" s="11">
        <f t="shared" si="11"/>
        <v>42.87706476649236</v>
      </c>
      <c r="H58" s="7">
        <f t="shared" si="12"/>
        <v>21953.057160444088</v>
      </c>
      <c r="I58" s="12">
        <f t="shared" si="29"/>
        <v>80622.602421730917</v>
      </c>
      <c r="J58" s="11">
        <f t="shared" si="30"/>
        <v>17.836858942860822</v>
      </c>
      <c r="K58" s="11">
        <f t="shared" si="15"/>
        <v>257.2623885989542</v>
      </c>
      <c r="L58" s="7">
        <f t="shared" si="16"/>
        <v>131718.34296266455</v>
      </c>
      <c r="M58" s="12">
        <f t="shared" si="31"/>
        <v>483735.61453038553</v>
      </c>
      <c r="N58" s="11">
        <f t="shared" si="32"/>
        <v>107.02115365716494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3" x14ac:dyDescent="0.15">
      <c r="A59" s="7" t="s">
        <v>20</v>
      </c>
      <c r="B59" s="7" t="s">
        <v>39</v>
      </c>
      <c r="C59" s="7">
        <v>512</v>
      </c>
      <c r="D59" s="7" t="s">
        <v>44</v>
      </c>
      <c r="E59" s="7">
        <f t="shared" ref="E59:E62" si="34">3.29*3</f>
        <v>9.870000000000001</v>
      </c>
      <c r="F59" s="13">
        <f t="shared" ref="F59:F60" si="35">1210000</f>
        <v>1210000</v>
      </c>
      <c r="G59" s="11">
        <f t="shared" si="11"/>
        <v>1.1478420569329659</v>
      </c>
      <c r="H59" s="7">
        <f t="shared" si="12"/>
        <v>587.69513314967855</v>
      </c>
      <c r="I59" s="12">
        <f t="shared" si="29"/>
        <v>1998.163452708907</v>
      </c>
      <c r="J59" s="11">
        <f t="shared" si="30"/>
        <v>0.47750229568411379</v>
      </c>
      <c r="K59" s="11">
        <f t="shared" si="15"/>
        <v>6.887052341597796</v>
      </c>
      <c r="L59" s="7">
        <f t="shared" si="16"/>
        <v>3526.1707988980716</v>
      </c>
      <c r="M59" s="12">
        <f t="shared" si="31"/>
        <v>11988.980716253443</v>
      </c>
      <c r="N59" s="11">
        <f t="shared" si="32"/>
        <v>2.8650137741046833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3" x14ac:dyDescent="0.15">
      <c r="A60" s="7" t="s">
        <v>20</v>
      </c>
      <c r="B60" s="7" t="s">
        <v>40</v>
      </c>
      <c r="C60" s="7">
        <v>512</v>
      </c>
      <c r="D60" s="7" t="s">
        <v>44</v>
      </c>
      <c r="E60" s="7">
        <f t="shared" si="34"/>
        <v>9.870000000000001</v>
      </c>
      <c r="F60" s="13">
        <f t="shared" si="35"/>
        <v>1210000</v>
      </c>
      <c r="G60" s="11">
        <f t="shared" si="11"/>
        <v>1.1478420569329659</v>
      </c>
      <c r="H60" s="7">
        <f t="shared" si="12"/>
        <v>587.69513314967855</v>
      </c>
      <c r="I60" s="12">
        <f t="shared" si="29"/>
        <v>2407.346189164371</v>
      </c>
      <c r="J60" s="11">
        <f t="shared" si="30"/>
        <v>0.47750229568411379</v>
      </c>
      <c r="K60" s="11">
        <f t="shared" si="15"/>
        <v>6.887052341597796</v>
      </c>
      <c r="L60" s="7">
        <f t="shared" si="16"/>
        <v>3526.1707988980716</v>
      </c>
      <c r="M60" s="12">
        <f t="shared" si="31"/>
        <v>14444.077134986226</v>
      </c>
      <c r="N60" s="11">
        <f t="shared" si="32"/>
        <v>2.8650137741046833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3" x14ac:dyDescent="0.15">
      <c r="A61" s="7" t="s">
        <v>23</v>
      </c>
      <c r="B61" s="7" t="s">
        <v>36</v>
      </c>
      <c r="C61" s="7">
        <v>512</v>
      </c>
      <c r="D61" s="7" t="s">
        <v>44</v>
      </c>
      <c r="E61" s="7">
        <f t="shared" si="34"/>
        <v>9.870000000000001</v>
      </c>
      <c r="F61" s="13">
        <f>510000</f>
        <v>510000</v>
      </c>
      <c r="G61" s="11">
        <f t="shared" si="11"/>
        <v>2.7233115468409586</v>
      </c>
      <c r="H61" s="7">
        <f t="shared" si="12"/>
        <v>1394.3355119825708</v>
      </c>
      <c r="I61" s="12">
        <f t="shared" si="29"/>
        <v>3457.9520697167754</v>
      </c>
      <c r="J61" s="11">
        <f t="shared" si="30"/>
        <v>0.87145969498910669</v>
      </c>
      <c r="K61" s="11">
        <f t="shared" si="15"/>
        <v>16.33986928104575</v>
      </c>
      <c r="L61" s="7">
        <f t="shared" si="16"/>
        <v>8366.0130718954242</v>
      </c>
      <c r="M61" s="12">
        <f t="shared" si="31"/>
        <v>20747.712418300653</v>
      </c>
      <c r="N61" s="11">
        <f t="shared" si="32"/>
        <v>5.2287581699346397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3" x14ac:dyDescent="0.15">
      <c r="A62" s="7" t="s">
        <v>23</v>
      </c>
      <c r="B62" s="7" t="s">
        <v>39</v>
      </c>
      <c r="C62" s="7">
        <v>512</v>
      </c>
      <c r="D62" s="7" t="s">
        <v>44</v>
      </c>
      <c r="E62" s="7">
        <f t="shared" si="34"/>
        <v>9.870000000000001</v>
      </c>
      <c r="F62" s="13">
        <f>720000</f>
        <v>720000</v>
      </c>
      <c r="G62" s="11">
        <f t="shared" si="11"/>
        <v>1.9290123456790123</v>
      </c>
      <c r="H62" s="7">
        <f t="shared" si="12"/>
        <v>987.65432098765427</v>
      </c>
      <c r="I62" s="12">
        <f t="shared" si="29"/>
        <v>3628.3950617283949</v>
      </c>
      <c r="J62" s="11">
        <f t="shared" si="30"/>
        <v>0.80246913580246915</v>
      </c>
      <c r="K62" s="11">
        <f t="shared" si="15"/>
        <v>11.574074074074073</v>
      </c>
      <c r="L62" s="7">
        <f t="shared" si="16"/>
        <v>5925.9259259259252</v>
      </c>
      <c r="M62" s="12">
        <f t="shared" si="31"/>
        <v>21770.370370370369</v>
      </c>
      <c r="N62" s="11">
        <f t="shared" si="32"/>
        <v>4.814814814814814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" x14ac:dyDescent="0.15">
      <c r="A63" s="7" t="s">
        <v>23</v>
      </c>
      <c r="B63" s="7" t="s">
        <v>42</v>
      </c>
      <c r="C63" s="7">
        <v>512</v>
      </c>
      <c r="D63" s="7" t="s">
        <v>44</v>
      </c>
      <c r="E63" s="7">
        <f>3.21*3</f>
        <v>9.629999999999999</v>
      </c>
      <c r="F63" s="13">
        <f>550000</f>
        <v>550000</v>
      </c>
      <c r="G63" s="11">
        <f t="shared" si="11"/>
        <v>2.5252525252525251</v>
      </c>
      <c r="H63" s="7">
        <f t="shared" si="12"/>
        <v>1292.9292929292928</v>
      </c>
      <c r="I63" s="12">
        <f t="shared" si="29"/>
        <v>4504.242424242424</v>
      </c>
      <c r="J63" s="11">
        <f t="shared" si="30"/>
        <v>1.0505050505050504</v>
      </c>
      <c r="K63" s="11">
        <f t="shared" si="15"/>
        <v>15.15151515151515</v>
      </c>
      <c r="L63" s="7">
        <f t="shared" si="16"/>
        <v>7757.5757575757571</v>
      </c>
      <c r="M63" s="12">
        <f t="shared" si="31"/>
        <v>27025.454545454544</v>
      </c>
      <c r="N63" s="11">
        <f t="shared" si="32"/>
        <v>6.3030303030303028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" x14ac:dyDescent="0.15">
      <c r="A64" s="7" t="s">
        <v>23</v>
      </c>
      <c r="B64" s="7" t="s">
        <v>40</v>
      </c>
      <c r="C64" s="7">
        <v>512</v>
      </c>
      <c r="D64" s="7" t="s">
        <v>44</v>
      </c>
      <c r="E64" s="7">
        <f>3.29*3</f>
        <v>9.870000000000001</v>
      </c>
      <c r="F64" s="13">
        <f>720000</f>
        <v>720000</v>
      </c>
      <c r="G64" s="11">
        <f t="shared" si="11"/>
        <v>1.9290123456790123</v>
      </c>
      <c r="H64" s="7">
        <f t="shared" si="12"/>
        <v>987.65432098765427</v>
      </c>
      <c r="I64" s="12">
        <f t="shared" si="29"/>
        <v>5638.2716049382716</v>
      </c>
      <c r="J64" s="11">
        <f t="shared" si="30"/>
        <v>0.80246913580246915</v>
      </c>
      <c r="K64" s="11">
        <f t="shared" si="15"/>
        <v>11.574074074074073</v>
      </c>
      <c r="L64" s="7">
        <f t="shared" si="16"/>
        <v>5925.9259259259252</v>
      </c>
      <c r="M64" s="12">
        <f t="shared" si="31"/>
        <v>33829.629629629628</v>
      </c>
      <c r="N64" s="11">
        <f t="shared" si="32"/>
        <v>4.814814814814814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" x14ac:dyDescent="0.15">
      <c r="A65" s="7" t="s">
        <v>14</v>
      </c>
      <c r="B65" s="7" t="s">
        <v>40</v>
      </c>
      <c r="C65" s="7">
        <v>64</v>
      </c>
      <c r="D65" s="7" t="s">
        <v>37</v>
      </c>
      <c r="E65" s="7">
        <f t="shared" ref="E65:E69" si="36">25.05*3</f>
        <v>75.150000000000006</v>
      </c>
      <c r="F65" s="10">
        <f>130000</f>
        <v>130000</v>
      </c>
      <c r="G65" s="11">
        <f t="shared" si="11"/>
        <v>10.683760683760683</v>
      </c>
      <c r="H65" s="7">
        <f t="shared" si="12"/>
        <v>683.76068376068372</v>
      </c>
      <c r="I65" s="12">
        <f t="shared" ref="I65:I66" si="37">H65*E9</f>
        <v>3501.7094017094014</v>
      </c>
      <c r="J65" s="11">
        <f t="shared" ref="J65:J66" si="38">(H65*I9)/1000000</f>
        <v>0.55555555555555547</v>
      </c>
      <c r="K65" s="11">
        <f t="shared" si="15"/>
        <v>64.102564102564102</v>
      </c>
      <c r="L65" s="7">
        <f t="shared" si="16"/>
        <v>4102.5641025641025</v>
      </c>
      <c r="M65" s="12">
        <f t="shared" ref="M65:M66" si="39">L65*E9</f>
        <v>21010.25641025641</v>
      </c>
      <c r="N65" s="11">
        <f t="shared" ref="N65:N66" si="40">(L65*I9)/1000000</f>
        <v>3.3333333333333335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" x14ac:dyDescent="0.15">
      <c r="A66" s="7" t="s">
        <v>14</v>
      </c>
      <c r="B66" s="7" t="s">
        <v>41</v>
      </c>
      <c r="C66" s="7">
        <v>64</v>
      </c>
      <c r="D66" s="7" t="s">
        <v>37</v>
      </c>
      <c r="E66" s="7">
        <f t="shared" si="36"/>
        <v>75.150000000000006</v>
      </c>
      <c r="F66" s="10">
        <f>590000</f>
        <v>590000</v>
      </c>
      <c r="G66" s="11">
        <f t="shared" si="11"/>
        <v>2.3540489642184559</v>
      </c>
      <c r="H66" s="7">
        <f t="shared" si="12"/>
        <v>150.65913370998118</v>
      </c>
      <c r="I66" s="12">
        <f t="shared" si="37"/>
        <v>1851.6007532956685</v>
      </c>
      <c r="J66" s="11">
        <f t="shared" si="38"/>
        <v>0.19209039548022599</v>
      </c>
      <c r="K66" s="11">
        <f t="shared" si="15"/>
        <v>14.124293785310735</v>
      </c>
      <c r="L66" s="7">
        <f t="shared" si="16"/>
        <v>903.95480225988706</v>
      </c>
      <c r="M66" s="12">
        <f t="shared" si="39"/>
        <v>11109.604519774011</v>
      </c>
      <c r="N66" s="11">
        <f t="shared" si="40"/>
        <v>1.152542372881356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" x14ac:dyDescent="0.15">
      <c r="A67" s="7" t="s">
        <v>20</v>
      </c>
      <c r="B67" s="7" t="s">
        <v>40</v>
      </c>
      <c r="C67" s="7">
        <v>64</v>
      </c>
      <c r="D67" s="7" t="s">
        <v>37</v>
      </c>
      <c r="E67" s="7">
        <f t="shared" si="36"/>
        <v>75.150000000000006</v>
      </c>
      <c r="F67" s="13">
        <f>330000</f>
        <v>330000</v>
      </c>
      <c r="G67" s="11">
        <f t="shared" si="11"/>
        <v>4.2087542087542085</v>
      </c>
      <c r="H67" s="7">
        <f t="shared" si="12"/>
        <v>269.36026936026934</v>
      </c>
      <c r="I67" s="12">
        <f>H67*E15</f>
        <v>1103.3670033670035</v>
      </c>
      <c r="J67" s="11">
        <f>(H67*I15)/1000000</f>
        <v>0.21885521885521886</v>
      </c>
      <c r="K67" s="11">
        <f t="shared" si="15"/>
        <v>25.252525252525253</v>
      </c>
      <c r="L67" s="7">
        <f t="shared" si="16"/>
        <v>1616.1616161616162</v>
      </c>
      <c r="M67" s="12">
        <f>L67*E15</f>
        <v>6620.2020202020212</v>
      </c>
      <c r="N67" s="11">
        <f>(L67*I15)/1000000</f>
        <v>1.3131313131313131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" x14ac:dyDescent="0.15">
      <c r="A68" s="7" t="s">
        <v>23</v>
      </c>
      <c r="B68" s="7" t="s">
        <v>40</v>
      </c>
      <c r="C68" s="7">
        <v>64</v>
      </c>
      <c r="D68" s="7" t="s">
        <v>37</v>
      </c>
      <c r="E68" s="7">
        <f t="shared" si="36"/>
        <v>75.150000000000006</v>
      </c>
      <c r="F68" s="13">
        <f>39723.87</f>
        <v>39723.870000000003</v>
      </c>
      <c r="G68" s="11">
        <f t="shared" si="11"/>
        <v>34.963584587526057</v>
      </c>
      <c r="H68" s="7">
        <f t="shared" si="12"/>
        <v>2237.6694136016677</v>
      </c>
      <c r="I68" s="12">
        <f>H68*E19</f>
        <v>12774.295264898521</v>
      </c>
      <c r="J68" s="11">
        <f>(H68*I19)/1000000</f>
        <v>1.8181063985513548</v>
      </c>
      <c r="K68" s="11">
        <f t="shared" si="15"/>
        <v>209.78150752515634</v>
      </c>
      <c r="L68" s="7">
        <f t="shared" si="16"/>
        <v>13426.016481610006</v>
      </c>
      <c r="M68" s="12">
        <f>L68*E19</f>
        <v>76645.771589391123</v>
      </c>
      <c r="N68" s="11">
        <f>(L68*I19)/1000000</f>
        <v>10.908638391308131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" x14ac:dyDescent="0.15">
      <c r="A69" s="7" t="s">
        <v>20</v>
      </c>
      <c r="B69" s="7" t="s">
        <v>40</v>
      </c>
      <c r="C69" s="7">
        <v>64</v>
      </c>
      <c r="D69" s="7" t="s">
        <v>37</v>
      </c>
      <c r="E69" s="7">
        <f t="shared" si="36"/>
        <v>75.150000000000006</v>
      </c>
      <c r="F69" s="10">
        <f>18468.61</f>
        <v>18468.61</v>
      </c>
      <c r="G69" s="11">
        <f t="shared" si="11"/>
        <v>75.202675723234648</v>
      </c>
      <c r="H69" s="7">
        <f t="shared" si="12"/>
        <v>4812.9712462870175</v>
      </c>
      <c r="I69" s="12">
        <f>H69*E13</f>
        <v>17675.63690198907</v>
      </c>
      <c r="J69" s="11">
        <f>(H69*I13)/1000000</f>
        <v>3.9105391376082017</v>
      </c>
      <c r="K69" s="11">
        <f t="shared" si="15"/>
        <v>451.21605433940795</v>
      </c>
      <c r="L69" s="7">
        <f t="shared" si="16"/>
        <v>28877.827477722109</v>
      </c>
      <c r="M69" s="12">
        <f>L69*E13</f>
        <v>106053.82141193443</v>
      </c>
      <c r="N69" s="11">
        <f>(L69*I13)/1000000</f>
        <v>23.463234825649213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" x14ac:dyDescent="0.15">
      <c r="A70" s="7" t="s">
        <v>14</v>
      </c>
      <c r="B70" s="7" t="s">
        <v>40</v>
      </c>
      <c r="C70" s="7">
        <v>64</v>
      </c>
      <c r="D70" s="7" t="s">
        <v>43</v>
      </c>
      <c r="E70" s="7">
        <f t="shared" ref="E70:E74" si="41">26.3*3</f>
        <v>78.900000000000006</v>
      </c>
      <c r="F70" s="10">
        <f>140000</f>
        <v>140000</v>
      </c>
      <c r="G70" s="11">
        <f t="shared" si="11"/>
        <v>9.9206349206349209</v>
      </c>
      <c r="H70" s="7">
        <f t="shared" si="12"/>
        <v>634.92063492063494</v>
      </c>
      <c r="I70" s="12">
        <f t="shared" ref="I70:I71" si="42">H70*E9</f>
        <v>3251.5873015873017</v>
      </c>
      <c r="J70" s="11">
        <f t="shared" ref="J70:J71" si="43">(H70*I9)/1000000</f>
        <v>0.51587301587301593</v>
      </c>
      <c r="K70" s="11">
        <f t="shared" si="15"/>
        <v>59.523809523809526</v>
      </c>
      <c r="L70" s="7">
        <f t="shared" si="16"/>
        <v>3809.5238095238096</v>
      </c>
      <c r="M70" s="12">
        <f t="shared" ref="M70:M71" si="44">L70*E9</f>
        <v>19509.523809523809</v>
      </c>
      <c r="N70" s="11">
        <f t="shared" ref="N70:N71" si="45">(L70*I9)/1000000</f>
        <v>3.0952380952380953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" x14ac:dyDescent="0.15">
      <c r="A71" s="7" t="s">
        <v>14</v>
      </c>
      <c r="B71" s="7" t="s">
        <v>41</v>
      </c>
      <c r="C71" s="7">
        <v>64</v>
      </c>
      <c r="D71" s="7" t="s">
        <v>43</v>
      </c>
      <c r="E71" s="7">
        <f t="shared" si="41"/>
        <v>78.900000000000006</v>
      </c>
      <c r="F71" s="10">
        <f>760000</f>
        <v>760000</v>
      </c>
      <c r="G71" s="11">
        <f t="shared" si="11"/>
        <v>1.827485380116959</v>
      </c>
      <c r="H71" s="7">
        <f t="shared" si="12"/>
        <v>116.95906432748538</v>
      </c>
      <c r="I71" s="12">
        <f t="shared" si="42"/>
        <v>1437.4269005847952</v>
      </c>
      <c r="J71" s="11">
        <f t="shared" si="43"/>
        <v>0.14912280701754385</v>
      </c>
      <c r="K71" s="11">
        <f t="shared" si="15"/>
        <v>10.964912280701753</v>
      </c>
      <c r="L71" s="7">
        <f t="shared" si="16"/>
        <v>701.75438596491222</v>
      </c>
      <c r="M71" s="12">
        <f t="shared" si="44"/>
        <v>8624.561403508771</v>
      </c>
      <c r="N71" s="11">
        <f t="shared" si="45"/>
        <v>0.89473684210526305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" x14ac:dyDescent="0.15">
      <c r="A72" s="7" t="s">
        <v>20</v>
      </c>
      <c r="B72" s="7" t="s">
        <v>40</v>
      </c>
      <c r="C72" s="7">
        <v>64</v>
      </c>
      <c r="D72" s="7" t="s">
        <v>43</v>
      </c>
      <c r="E72" s="7">
        <f t="shared" si="41"/>
        <v>78.900000000000006</v>
      </c>
      <c r="F72" s="13">
        <f>420000</f>
        <v>420000</v>
      </c>
      <c r="G72" s="11">
        <f t="shared" si="11"/>
        <v>3.306878306878307</v>
      </c>
      <c r="H72" s="7">
        <f t="shared" si="12"/>
        <v>211.64021164021165</v>
      </c>
      <c r="I72" s="12">
        <f>H72*E15</f>
        <v>866.93121693121702</v>
      </c>
      <c r="J72" s="11">
        <f>(H72*I15)/1000000</f>
        <v>0.17195767195767198</v>
      </c>
      <c r="K72" s="11">
        <f t="shared" si="15"/>
        <v>19.841269841269842</v>
      </c>
      <c r="L72" s="7">
        <f t="shared" si="16"/>
        <v>1269.8412698412699</v>
      </c>
      <c r="M72" s="12">
        <f>L72*E15</f>
        <v>5201.5873015873021</v>
      </c>
      <c r="N72" s="11">
        <f>(L72*I15)/1000000</f>
        <v>1.0317460317460319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" x14ac:dyDescent="0.15">
      <c r="A73" s="7" t="s">
        <v>23</v>
      </c>
      <c r="B73" s="7" t="s">
        <v>40</v>
      </c>
      <c r="C73" s="7">
        <v>64</v>
      </c>
      <c r="D73" s="7" t="s">
        <v>43</v>
      </c>
      <c r="E73" s="7">
        <f t="shared" si="41"/>
        <v>78.900000000000006</v>
      </c>
      <c r="F73" s="13">
        <f>40907.5</f>
        <v>40907.5</v>
      </c>
      <c r="G73" s="11">
        <f t="shared" si="11"/>
        <v>33.951937637080945</v>
      </c>
      <c r="H73" s="7">
        <f t="shared" si="12"/>
        <v>2172.9240087731805</v>
      </c>
      <c r="I73" s="12">
        <f>H73*E19</f>
        <v>12404.679935083896</v>
      </c>
      <c r="J73" s="11">
        <f>(H73*I19)/1000000</f>
        <v>1.7655007571282091</v>
      </c>
      <c r="K73" s="11">
        <f t="shared" si="15"/>
        <v>203.7116258224857</v>
      </c>
      <c r="L73" s="7">
        <f t="shared" si="16"/>
        <v>13037.544052639085</v>
      </c>
      <c r="M73" s="12">
        <f>L73*E19</f>
        <v>74428.079610503381</v>
      </c>
      <c r="N73" s="11">
        <f>(L73*I19)/1000000</f>
        <v>10.593004542769258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" x14ac:dyDescent="0.15">
      <c r="A74" s="7" t="s">
        <v>20</v>
      </c>
      <c r="B74" s="7" t="s">
        <v>40</v>
      </c>
      <c r="C74" s="7">
        <v>64</v>
      </c>
      <c r="D74" s="7" t="s">
        <v>43</v>
      </c>
      <c r="E74" s="7">
        <f t="shared" si="41"/>
        <v>78.900000000000006</v>
      </c>
      <c r="F74" s="10">
        <f>24434.54</f>
        <v>24434.54</v>
      </c>
      <c r="G74" s="11">
        <f t="shared" si="11"/>
        <v>56.841212844149673</v>
      </c>
      <c r="H74" s="7">
        <f t="shared" si="12"/>
        <v>3637.8376220255791</v>
      </c>
      <c r="I74" s="12">
        <f>H74*E13</f>
        <v>13359.958666888939</v>
      </c>
      <c r="J74" s="11">
        <f>(H74*I13)/1000000</f>
        <v>2.9557430678957832</v>
      </c>
      <c r="K74" s="11">
        <f t="shared" si="15"/>
        <v>341.04727706489803</v>
      </c>
      <c r="L74" s="7">
        <f t="shared" si="16"/>
        <v>21827.025732153474</v>
      </c>
      <c r="M74" s="12">
        <f>L74*E13</f>
        <v>80159.752001333633</v>
      </c>
      <c r="N74" s="11">
        <f>(L74*I13)/1000000</f>
        <v>17.734458407374699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3" x14ac:dyDescent="0.15">
      <c r="A75" s="7" t="s">
        <v>14</v>
      </c>
      <c r="B75" s="7" t="s">
        <v>40</v>
      </c>
      <c r="C75" s="7">
        <v>64</v>
      </c>
      <c r="D75" s="7" t="s">
        <v>44</v>
      </c>
      <c r="E75" s="7">
        <f t="shared" ref="E75:E79" si="46">25.19*3</f>
        <v>75.570000000000007</v>
      </c>
      <c r="F75" s="10">
        <f>140000</f>
        <v>140000</v>
      </c>
      <c r="G75" s="11">
        <f t="shared" si="11"/>
        <v>9.9206349206349209</v>
      </c>
      <c r="H75" s="7">
        <f t="shared" si="12"/>
        <v>634.92063492063494</v>
      </c>
      <c r="I75" s="12">
        <f t="shared" ref="I75:I76" si="47">H75*E9</f>
        <v>3251.5873015873017</v>
      </c>
      <c r="J75" s="11">
        <f t="shared" ref="J75:J76" si="48">(H75*I9)/1000000</f>
        <v>0.51587301587301593</v>
      </c>
      <c r="K75" s="11">
        <f t="shared" si="15"/>
        <v>59.523809523809526</v>
      </c>
      <c r="L75" s="7">
        <f t="shared" si="16"/>
        <v>3809.5238095238096</v>
      </c>
      <c r="M75" s="12">
        <f t="shared" ref="M75:M76" si="49">L75*E9</f>
        <v>19509.523809523809</v>
      </c>
      <c r="N75" s="11">
        <f t="shared" ref="N75:N76" si="50">(L75*I9)/1000000</f>
        <v>3.0952380952380953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" x14ac:dyDescent="0.15">
      <c r="A76" s="7" t="s">
        <v>14</v>
      </c>
      <c r="B76" s="7" t="s">
        <v>41</v>
      </c>
      <c r="C76" s="7">
        <v>64</v>
      </c>
      <c r="D76" s="7" t="s">
        <v>44</v>
      </c>
      <c r="E76" s="7">
        <f t="shared" si="46"/>
        <v>75.570000000000007</v>
      </c>
      <c r="F76" s="10">
        <f>640000</f>
        <v>640000</v>
      </c>
      <c r="G76" s="11">
        <f t="shared" si="11"/>
        <v>2.1701388888888888</v>
      </c>
      <c r="H76" s="7">
        <f t="shared" si="12"/>
        <v>138.88888888888889</v>
      </c>
      <c r="I76" s="12">
        <f t="shared" si="47"/>
        <v>1706.9444444444443</v>
      </c>
      <c r="J76" s="11">
        <f t="shared" si="48"/>
        <v>0.17708333333333334</v>
      </c>
      <c r="K76" s="11">
        <f t="shared" si="15"/>
        <v>13.020833333333334</v>
      </c>
      <c r="L76" s="7">
        <f t="shared" si="16"/>
        <v>833.33333333333337</v>
      </c>
      <c r="M76" s="12">
        <f t="shared" si="49"/>
        <v>10241.666666666666</v>
      </c>
      <c r="N76" s="11">
        <f t="shared" si="50"/>
        <v>1.0625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" x14ac:dyDescent="0.15">
      <c r="A77" s="7" t="s">
        <v>20</v>
      </c>
      <c r="B77" s="7" t="s">
        <v>40</v>
      </c>
      <c r="C77" s="7">
        <v>64</v>
      </c>
      <c r="D77" s="7" t="s">
        <v>44</v>
      </c>
      <c r="E77" s="7">
        <f t="shared" si="46"/>
        <v>75.570000000000007</v>
      </c>
      <c r="F77" s="13">
        <f>360000</f>
        <v>360000</v>
      </c>
      <c r="G77" s="11">
        <f t="shared" si="11"/>
        <v>3.8580246913580245</v>
      </c>
      <c r="H77" s="7">
        <f t="shared" si="12"/>
        <v>246.91358024691357</v>
      </c>
      <c r="I77" s="12">
        <f>H77*E15</f>
        <v>1011.4197530864197</v>
      </c>
      <c r="J77" s="11">
        <f>(H77*I15)/1000000</f>
        <v>0.20061728395061729</v>
      </c>
      <c r="K77" s="11">
        <f t="shared" si="15"/>
        <v>23.148148148148145</v>
      </c>
      <c r="L77" s="7">
        <f t="shared" si="16"/>
        <v>1481.4814814814813</v>
      </c>
      <c r="M77" s="12">
        <f>L77*E15</f>
        <v>6068.5185185185182</v>
      </c>
      <c r="N77" s="11">
        <f>(L77*I15)/1000000</f>
        <v>1.2037037037037035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" x14ac:dyDescent="0.15">
      <c r="A78" s="7" t="s">
        <v>23</v>
      </c>
      <c r="B78" s="7" t="s">
        <v>40</v>
      </c>
      <c r="C78" s="7">
        <v>64</v>
      </c>
      <c r="D78" s="7" t="s">
        <v>44</v>
      </c>
      <c r="E78" s="7">
        <f t="shared" si="46"/>
        <v>75.570000000000007</v>
      </c>
      <c r="F78" s="13">
        <f>40359.18</f>
        <v>40359.18</v>
      </c>
      <c r="G78" s="11">
        <f t="shared" si="11"/>
        <v>34.41320881367978</v>
      </c>
      <c r="H78" s="7">
        <f t="shared" si="12"/>
        <v>2202.4453640755059</v>
      </c>
      <c r="I78" s="12">
        <f>H78*E19</f>
        <v>12573.209972166045</v>
      </c>
      <c r="J78" s="11">
        <f>(H78*I19)/1000000</f>
        <v>1.7894868583113486</v>
      </c>
      <c r="K78" s="11">
        <f t="shared" si="15"/>
        <v>206.4792528820787</v>
      </c>
      <c r="L78" s="7">
        <f t="shared" si="16"/>
        <v>13214.672184453037</v>
      </c>
      <c r="M78" s="12">
        <f>L78*E19</f>
        <v>75439.259832996278</v>
      </c>
      <c r="N78" s="11">
        <f>(L78*I19)/1000000</f>
        <v>10.736921149868092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" x14ac:dyDescent="0.15">
      <c r="A79" s="7" t="s">
        <v>20</v>
      </c>
      <c r="B79" s="7" t="s">
        <v>40</v>
      </c>
      <c r="C79" s="7">
        <v>64</v>
      </c>
      <c r="D79" s="7" t="s">
        <v>44</v>
      </c>
      <c r="E79" s="7">
        <f t="shared" si="46"/>
        <v>75.570000000000007</v>
      </c>
      <c r="F79" s="10">
        <f>13078.02</f>
        <v>13078.02</v>
      </c>
      <c r="G79" s="11">
        <f t="shared" si="11"/>
        <v>106.20024200061545</v>
      </c>
      <c r="H79" s="7">
        <f t="shared" si="12"/>
        <v>6796.8154880393886</v>
      </c>
      <c r="I79" s="12">
        <f>H79*E13</f>
        <v>24961.304879824653</v>
      </c>
      <c r="J79" s="11">
        <f>(H79*I13)/1000000</f>
        <v>5.5224125840320024</v>
      </c>
      <c r="K79" s="11">
        <f t="shared" si="15"/>
        <v>637.20145200369268</v>
      </c>
      <c r="L79" s="7">
        <f t="shared" si="16"/>
        <v>40780.892928236331</v>
      </c>
      <c r="M79" s="12">
        <f>L79*E13</f>
        <v>149767.82927894793</v>
      </c>
      <c r="N79" s="11">
        <f>(L79*I13)/1000000</f>
        <v>33.134475504192018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" x14ac:dyDescent="0.15">
      <c r="A80" s="7" t="s">
        <v>14</v>
      </c>
      <c r="B80" s="7" t="s">
        <v>38</v>
      </c>
      <c r="C80" s="7">
        <v>256</v>
      </c>
      <c r="D80" s="7" t="s">
        <v>37</v>
      </c>
      <c r="E80" s="7">
        <f t="shared" ref="E80:E90" si="51">6.26*3</f>
        <v>18.78</v>
      </c>
      <c r="F80" s="10">
        <f>200000</f>
        <v>200000</v>
      </c>
      <c r="G80" s="11">
        <f t="shared" si="11"/>
        <v>6.9444444444444446</v>
      </c>
      <c r="H80" s="7">
        <f t="shared" si="12"/>
        <v>1777.7777777777778</v>
      </c>
      <c r="I80" s="12">
        <f t="shared" ref="I80:I83" si="52">H80*E7</f>
        <v>6935.5555555555557</v>
      </c>
      <c r="J80" s="11">
        <f t="shared" ref="J80:J83" si="53">(H80*I7)/1000000</f>
        <v>1.1111111111111112</v>
      </c>
      <c r="K80" s="11">
        <f t="shared" si="15"/>
        <v>41.666666666666664</v>
      </c>
      <c r="L80" s="7">
        <f t="shared" si="16"/>
        <v>10666.666666666666</v>
      </c>
      <c r="M80" s="12">
        <f t="shared" ref="M80:M83" si="54">L80*E7</f>
        <v>41613.333333333328</v>
      </c>
      <c r="N80" s="11">
        <f t="shared" ref="N80:N83" si="55">(L80*I7)/1000000</f>
        <v>6.6666666666666661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" x14ac:dyDescent="0.15">
      <c r="A81" s="7" t="s">
        <v>14</v>
      </c>
      <c r="B81" s="7" t="s">
        <v>39</v>
      </c>
      <c r="C81" s="7">
        <v>256</v>
      </c>
      <c r="D81" s="7" t="s">
        <v>37</v>
      </c>
      <c r="E81" s="7">
        <f t="shared" si="51"/>
        <v>18.78</v>
      </c>
      <c r="F81" s="10">
        <f t="shared" ref="F81:F82" si="56">550000</f>
        <v>550000</v>
      </c>
      <c r="G81" s="11">
        <f t="shared" si="11"/>
        <v>2.5252525252525251</v>
      </c>
      <c r="H81" s="7">
        <f t="shared" si="12"/>
        <v>646.46464646464642</v>
      </c>
      <c r="I81" s="12">
        <f t="shared" si="52"/>
        <v>2648.8888888888887</v>
      </c>
      <c r="J81" s="11">
        <f t="shared" si="53"/>
        <v>0.52525252525252519</v>
      </c>
      <c r="K81" s="11">
        <f t="shared" si="15"/>
        <v>15.15151515151515</v>
      </c>
      <c r="L81" s="7">
        <f t="shared" si="16"/>
        <v>3878.7878787878785</v>
      </c>
      <c r="M81" s="12">
        <f t="shared" si="54"/>
        <v>15893.333333333332</v>
      </c>
      <c r="N81" s="11">
        <f t="shared" si="55"/>
        <v>3.1515151515151514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" x14ac:dyDescent="0.15">
      <c r="A82" s="7" t="s">
        <v>14</v>
      </c>
      <c r="B82" s="7" t="s">
        <v>40</v>
      </c>
      <c r="C82" s="7">
        <v>256</v>
      </c>
      <c r="D82" s="7" t="s">
        <v>37</v>
      </c>
      <c r="E82" s="7">
        <f t="shared" si="51"/>
        <v>18.78</v>
      </c>
      <c r="F82" s="10">
        <f t="shared" si="56"/>
        <v>550000</v>
      </c>
      <c r="G82" s="11">
        <f t="shared" si="11"/>
        <v>2.5252525252525251</v>
      </c>
      <c r="H82" s="7">
        <f t="shared" si="12"/>
        <v>646.46464646464642</v>
      </c>
      <c r="I82" s="12">
        <f t="shared" si="52"/>
        <v>3310.7070707070702</v>
      </c>
      <c r="J82" s="11">
        <f t="shared" si="53"/>
        <v>0.52525252525252519</v>
      </c>
      <c r="K82" s="11">
        <f t="shared" si="15"/>
        <v>15.15151515151515</v>
      </c>
      <c r="L82" s="7">
        <f t="shared" si="16"/>
        <v>3878.7878787878785</v>
      </c>
      <c r="M82" s="12">
        <f t="shared" si="54"/>
        <v>19864.242424242424</v>
      </c>
      <c r="N82" s="11">
        <f t="shared" si="55"/>
        <v>3.1515151515151514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" x14ac:dyDescent="0.15">
      <c r="A83" s="7" t="s">
        <v>14</v>
      </c>
      <c r="B83" s="7" t="s">
        <v>41</v>
      </c>
      <c r="C83" s="7">
        <v>256</v>
      </c>
      <c r="D83" s="7" t="s">
        <v>37</v>
      </c>
      <c r="E83" s="7">
        <f t="shared" si="51"/>
        <v>18.78</v>
      </c>
      <c r="F83" s="10">
        <f>1270000</f>
        <v>1270000</v>
      </c>
      <c r="G83" s="11">
        <f t="shared" si="11"/>
        <v>1.0936132983377078</v>
      </c>
      <c r="H83" s="7">
        <f t="shared" si="12"/>
        <v>279.9650043744532</v>
      </c>
      <c r="I83" s="12">
        <f t="shared" si="52"/>
        <v>3440.7699037620296</v>
      </c>
      <c r="J83" s="11">
        <f t="shared" si="53"/>
        <v>0.35695538057742787</v>
      </c>
      <c r="K83" s="11">
        <f t="shared" si="15"/>
        <v>6.561679790026246</v>
      </c>
      <c r="L83" s="7">
        <f t="shared" si="16"/>
        <v>1679.790026246719</v>
      </c>
      <c r="M83" s="12">
        <f t="shared" si="54"/>
        <v>20644.619422572174</v>
      </c>
      <c r="N83" s="11">
        <f t="shared" si="55"/>
        <v>2.1417322834645667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" x14ac:dyDescent="0.15">
      <c r="A84" s="7" t="s">
        <v>20</v>
      </c>
      <c r="B84" s="7" t="s">
        <v>38</v>
      </c>
      <c r="C84" s="7">
        <v>256</v>
      </c>
      <c r="D84" s="7" t="s">
        <v>37</v>
      </c>
      <c r="E84" s="7">
        <f t="shared" si="51"/>
        <v>18.78</v>
      </c>
      <c r="F84" s="10">
        <f>200000</f>
        <v>200000</v>
      </c>
      <c r="G84" s="11">
        <f t="shared" si="11"/>
        <v>6.9444444444444446</v>
      </c>
      <c r="H84" s="7">
        <f t="shared" si="12"/>
        <v>1777.7777777777778</v>
      </c>
      <c r="I84" s="12">
        <f t="shared" ref="I84:I87" si="57">H84*E12</f>
        <v>4895.5555555555557</v>
      </c>
      <c r="J84" s="11">
        <f t="shared" ref="J84:J87" si="58">(H84*I12)/1000000</f>
        <v>1.1111111111111112</v>
      </c>
      <c r="K84" s="11">
        <f t="shared" si="15"/>
        <v>41.666666666666664</v>
      </c>
      <c r="L84" s="7">
        <f t="shared" si="16"/>
        <v>10666.666666666666</v>
      </c>
      <c r="M84" s="12">
        <f t="shared" ref="M84:M87" si="59">L84*E12</f>
        <v>29373.333333333332</v>
      </c>
      <c r="N84" s="11">
        <f t="shared" ref="N84:N87" si="60">(L84*I12)/1000000</f>
        <v>6.6666666666666661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" x14ac:dyDescent="0.15">
      <c r="A85" s="7" t="s">
        <v>20</v>
      </c>
      <c r="B85" s="7" t="s">
        <v>40</v>
      </c>
      <c r="C85" s="7">
        <v>256</v>
      </c>
      <c r="D85" s="7" t="s">
        <v>37</v>
      </c>
      <c r="E85" s="7">
        <f t="shared" si="51"/>
        <v>18.78</v>
      </c>
      <c r="F85" s="10">
        <f>24840.25</f>
        <v>24840.25</v>
      </c>
      <c r="G85" s="11">
        <f t="shared" si="11"/>
        <v>55.912838594172314</v>
      </c>
      <c r="H85" s="7">
        <f t="shared" si="12"/>
        <v>14313.686680108112</v>
      </c>
      <c r="I85" s="12">
        <f t="shared" si="57"/>
        <v>52567.014332697043</v>
      </c>
      <c r="J85" s="11">
        <f t="shared" si="58"/>
        <v>11.629870427587841</v>
      </c>
      <c r="K85" s="11">
        <f t="shared" si="15"/>
        <v>335.47703156503388</v>
      </c>
      <c r="L85" s="7">
        <f t="shared" si="16"/>
        <v>85882.120080648674</v>
      </c>
      <c r="M85" s="12">
        <f t="shared" si="59"/>
        <v>315402.08599618223</v>
      </c>
      <c r="N85" s="11">
        <f t="shared" si="60"/>
        <v>69.77922256552705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" x14ac:dyDescent="0.15">
      <c r="A86" s="7" t="s">
        <v>20</v>
      </c>
      <c r="B86" s="7" t="s">
        <v>39</v>
      </c>
      <c r="C86" s="7">
        <v>256</v>
      </c>
      <c r="D86" s="7" t="s">
        <v>37</v>
      </c>
      <c r="E86" s="7">
        <f t="shared" si="51"/>
        <v>18.78</v>
      </c>
      <c r="F86" s="10">
        <f t="shared" ref="F86:F87" si="61">770000</f>
        <v>770000</v>
      </c>
      <c r="G86" s="11">
        <f t="shared" si="11"/>
        <v>1.8037518037518039</v>
      </c>
      <c r="H86" s="7">
        <f t="shared" si="12"/>
        <v>461.76046176046179</v>
      </c>
      <c r="I86" s="12">
        <f t="shared" si="57"/>
        <v>1569.98556998557</v>
      </c>
      <c r="J86" s="11">
        <f t="shared" si="58"/>
        <v>0.37518037518037517</v>
      </c>
      <c r="K86" s="11">
        <f t="shared" si="15"/>
        <v>10.822510822510823</v>
      </c>
      <c r="L86" s="7">
        <f t="shared" si="16"/>
        <v>2770.5627705627708</v>
      </c>
      <c r="M86" s="12">
        <f t="shared" si="59"/>
        <v>9419.9134199134205</v>
      </c>
      <c r="N86" s="11">
        <f t="shared" si="60"/>
        <v>2.2510822510822512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" x14ac:dyDescent="0.15">
      <c r="A87" s="7" t="s">
        <v>20</v>
      </c>
      <c r="B87" s="7" t="s">
        <v>40</v>
      </c>
      <c r="C87" s="7">
        <v>256</v>
      </c>
      <c r="D87" s="7" t="s">
        <v>37</v>
      </c>
      <c r="E87" s="7">
        <f t="shared" si="51"/>
        <v>18.78</v>
      </c>
      <c r="F87" s="10">
        <f t="shared" si="61"/>
        <v>770000</v>
      </c>
      <c r="G87" s="11">
        <f t="shared" si="11"/>
        <v>1.8037518037518039</v>
      </c>
      <c r="H87" s="7">
        <f t="shared" si="12"/>
        <v>461.76046176046179</v>
      </c>
      <c r="I87" s="12">
        <f t="shared" si="57"/>
        <v>1891.4862914862917</v>
      </c>
      <c r="J87" s="11">
        <f t="shared" si="58"/>
        <v>0.37518037518037517</v>
      </c>
      <c r="K87" s="11">
        <f t="shared" si="15"/>
        <v>10.822510822510823</v>
      </c>
      <c r="L87" s="7">
        <f t="shared" si="16"/>
        <v>2770.5627705627708</v>
      </c>
      <c r="M87" s="12">
        <f t="shared" si="59"/>
        <v>11348.917748917751</v>
      </c>
      <c r="N87" s="11">
        <f t="shared" si="60"/>
        <v>2.2510822510822512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" x14ac:dyDescent="0.15">
      <c r="A88" s="7" t="s">
        <v>23</v>
      </c>
      <c r="B88" s="7" t="s">
        <v>39</v>
      </c>
      <c r="C88" s="7">
        <v>256</v>
      </c>
      <c r="D88" s="7" t="s">
        <v>37</v>
      </c>
      <c r="E88" s="7">
        <f t="shared" si="51"/>
        <v>18.78</v>
      </c>
      <c r="F88" s="10">
        <f>330000</f>
        <v>330000</v>
      </c>
      <c r="G88" s="11">
        <f t="shared" si="11"/>
        <v>4.2087542087542085</v>
      </c>
      <c r="H88" s="7">
        <f t="shared" si="12"/>
        <v>1077.4410774410774</v>
      </c>
      <c r="I88" s="12">
        <f t="shared" ref="I88:I90" si="62">H88*E17</f>
        <v>3958.249158249158</v>
      </c>
      <c r="J88" s="11">
        <f t="shared" ref="J88:J90" si="63">(H88*I17)/1000000</f>
        <v>0.87542087542087543</v>
      </c>
      <c r="K88" s="11">
        <f t="shared" si="15"/>
        <v>25.252525252525253</v>
      </c>
      <c r="L88" s="7">
        <f t="shared" si="16"/>
        <v>6464.6464646464647</v>
      </c>
      <c r="M88" s="12">
        <f t="shared" ref="M88:M90" si="64">L88*E17</f>
        <v>23749.494949494951</v>
      </c>
      <c r="N88" s="11">
        <f t="shared" ref="N88:N90" si="65">(L88*I17)/1000000</f>
        <v>5.2525252525252526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" x14ac:dyDescent="0.15">
      <c r="A89" s="7" t="s">
        <v>23</v>
      </c>
      <c r="B89" s="7" t="s">
        <v>42</v>
      </c>
      <c r="C89" s="7">
        <v>256</v>
      </c>
      <c r="D89" s="7" t="s">
        <v>37</v>
      </c>
      <c r="E89" s="7">
        <f t="shared" si="51"/>
        <v>18.78</v>
      </c>
      <c r="F89" s="10">
        <f>220000</f>
        <v>220000</v>
      </c>
      <c r="G89" s="11">
        <f t="shared" si="11"/>
        <v>6.3131313131313131</v>
      </c>
      <c r="H89" s="7">
        <f t="shared" si="12"/>
        <v>1616.1616161616162</v>
      </c>
      <c r="I89" s="12">
        <f t="shared" si="62"/>
        <v>5630.3030303030309</v>
      </c>
      <c r="J89" s="11">
        <f t="shared" si="63"/>
        <v>1.3131313131313131</v>
      </c>
      <c r="K89" s="11">
        <f t="shared" si="15"/>
        <v>37.878787878787875</v>
      </c>
      <c r="L89" s="7">
        <f t="shared" si="16"/>
        <v>9696.9696969696961</v>
      </c>
      <c r="M89" s="12">
        <f t="shared" si="64"/>
        <v>33781.818181818177</v>
      </c>
      <c r="N89" s="11">
        <f t="shared" si="65"/>
        <v>7.878787878787878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" x14ac:dyDescent="0.15">
      <c r="A90" s="7" t="s">
        <v>23</v>
      </c>
      <c r="B90" s="7" t="s">
        <v>40</v>
      </c>
      <c r="C90" s="7">
        <v>256</v>
      </c>
      <c r="D90" s="7" t="s">
        <v>37</v>
      </c>
      <c r="E90" s="7">
        <f t="shared" si="51"/>
        <v>18.78</v>
      </c>
      <c r="F90" s="10">
        <f>330000</f>
        <v>330000</v>
      </c>
      <c r="G90" s="11">
        <f t="shared" si="11"/>
        <v>4.2087542087542085</v>
      </c>
      <c r="H90" s="7">
        <f t="shared" si="12"/>
        <v>1077.4410774410774</v>
      </c>
      <c r="I90" s="12">
        <f t="shared" si="62"/>
        <v>6150.8417508417506</v>
      </c>
      <c r="J90" s="11">
        <f t="shared" si="63"/>
        <v>0.87542087542087543</v>
      </c>
      <c r="K90" s="11">
        <f t="shared" si="15"/>
        <v>25.252525252525253</v>
      </c>
      <c r="L90" s="7">
        <f t="shared" si="16"/>
        <v>6464.6464646464647</v>
      </c>
      <c r="M90" s="12">
        <f t="shared" si="64"/>
        <v>36905.050505050509</v>
      </c>
      <c r="N90" s="11">
        <f t="shared" si="65"/>
        <v>5.2525252525252526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" x14ac:dyDescent="0.15">
      <c r="A91" s="7" t="s">
        <v>14</v>
      </c>
      <c r="B91" s="7" t="s">
        <v>38</v>
      </c>
      <c r="C91" s="7">
        <v>256</v>
      </c>
      <c r="D91" s="7" t="s">
        <v>43</v>
      </c>
      <c r="E91" s="7">
        <f t="shared" ref="E91:E101" si="66">7.53*3</f>
        <v>22.59</v>
      </c>
      <c r="F91" s="10">
        <v>280000</v>
      </c>
      <c r="G91" s="11">
        <f t="shared" si="11"/>
        <v>4.9603174603174605</v>
      </c>
      <c r="H91" s="7">
        <f t="shared" si="12"/>
        <v>1269.8412698412699</v>
      </c>
      <c r="I91" s="12">
        <f t="shared" ref="I91:I94" si="67">H91*E7</f>
        <v>4953.9682539682544</v>
      </c>
      <c r="J91" s="11">
        <f t="shared" ref="J91:J94" si="68">(H91*I7)/1000000</f>
        <v>0.79365079365079372</v>
      </c>
      <c r="K91" s="11">
        <f t="shared" si="15"/>
        <v>29.761904761904763</v>
      </c>
      <c r="L91" s="7">
        <f t="shared" si="16"/>
        <v>7619.0476190476193</v>
      </c>
      <c r="M91" s="12">
        <f t="shared" ref="M91:M94" si="69">L91*E7</f>
        <v>29723.809523809527</v>
      </c>
      <c r="N91" s="11">
        <f t="shared" ref="N91:N94" si="70">(L91*I7)/1000000</f>
        <v>4.7619047619047619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" x14ac:dyDescent="0.15">
      <c r="A92" s="7" t="s">
        <v>14</v>
      </c>
      <c r="B92" s="7" t="s">
        <v>39</v>
      </c>
      <c r="C92" s="7">
        <v>256</v>
      </c>
      <c r="D92" s="7" t="s">
        <v>43</v>
      </c>
      <c r="E92" s="7">
        <f t="shared" si="66"/>
        <v>22.59</v>
      </c>
      <c r="F92" s="10">
        <f t="shared" ref="F92:F93" si="71">760000</f>
        <v>760000</v>
      </c>
      <c r="G92" s="11">
        <f t="shared" si="11"/>
        <v>1.827485380116959</v>
      </c>
      <c r="H92" s="7">
        <f t="shared" si="12"/>
        <v>467.83625730994152</v>
      </c>
      <c r="I92" s="12">
        <f t="shared" si="67"/>
        <v>1916.9590643274855</v>
      </c>
      <c r="J92" s="11">
        <f t="shared" si="68"/>
        <v>0.38011695906432746</v>
      </c>
      <c r="K92" s="11">
        <f t="shared" si="15"/>
        <v>10.964912280701753</v>
      </c>
      <c r="L92" s="7">
        <f t="shared" si="16"/>
        <v>2807.0175438596489</v>
      </c>
      <c r="M92" s="12">
        <f t="shared" si="69"/>
        <v>11501.754385964912</v>
      </c>
      <c r="N92" s="11">
        <f t="shared" si="70"/>
        <v>2.2807017543859645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" x14ac:dyDescent="0.15">
      <c r="A93" s="7" t="s">
        <v>14</v>
      </c>
      <c r="B93" s="7" t="s">
        <v>40</v>
      </c>
      <c r="C93" s="7">
        <v>256</v>
      </c>
      <c r="D93" s="7" t="s">
        <v>43</v>
      </c>
      <c r="E93" s="7">
        <f t="shared" si="66"/>
        <v>22.59</v>
      </c>
      <c r="F93" s="10">
        <f t="shared" si="71"/>
        <v>760000</v>
      </c>
      <c r="G93" s="11">
        <f t="shared" si="11"/>
        <v>1.827485380116959</v>
      </c>
      <c r="H93" s="7">
        <f t="shared" si="12"/>
        <v>467.83625730994152</v>
      </c>
      <c r="I93" s="12">
        <f t="shared" si="67"/>
        <v>2395.906432748538</v>
      </c>
      <c r="J93" s="11">
        <f t="shared" si="68"/>
        <v>0.38011695906432746</v>
      </c>
      <c r="K93" s="11">
        <f t="shared" si="15"/>
        <v>10.964912280701753</v>
      </c>
      <c r="L93" s="7">
        <f t="shared" si="16"/>
        <v>2807.0175438596489</v>
      </c>
      <c r="M93" s="12">
        <f t="shared" si="69"/>
        <v>14375.438596491227</v>
      </c>
      <c r="N93" s="11">
        <f t="shared" si="70"/>
        <v>2.2807017543859645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" x14ac:dyDescent="0.15">
      <c r="A94" s="7" t="s">
        <v>14</v>
      </c>
      <c r="B94" s="7" t="s">
        <v>41</v>
      </c>
      <c r="C94" s="7">
        <v>256</v>
      </c>
      <c r="D94" s="7" t="s">
        <v>43</v>
      </c>
      <c r="E94" s="7">
        <f t="shared" si="66"/>
        <v>22.59</v>
      </c>
      <c r="F94" s="10">
        <f>1880000</f>
        <v>1880000</v>
      </c>
      <c r="G94" s="11">
        <f t="shared" si="11"/>
        <v>0.73877068557919612</v>
      </c>
      <c r="H94" s="7">
        <f t="shared" si="12"/>
        <v>189.12529550827421</v>
      </c>
      <c r="I94" s="12">
        <f t="shared" si="67"/>
        <v>2324.3498817966897</v>
      </c>
      <c r="J94" s="11">
        <f t="shared" si="68"/>
        <v>0.2411347517730496</v>
      </c>
      <c r="K94" s="11">
        <f t="shared" si="15"/>
        <v>4.4326241134751774</v>
      </c>
      <c r="L94" s="7">
        <f t="shared" si="16"/>
        <v>1134.7517730496454</v>
      </c>
      <c r="M94" s="12">
        <f t="shared" si="69"/>
        <v>13946.099290780141</v>
      </c>
      <c r="N94" s="11">
        <f t="shared" si="70"/>
        <v>1.446808510638298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" x14ac:dyDescent="0.15">
      <c r="A95" s="7" t="s">
        <v>20</v>
      </c>
      <c r="B95" s="7" t="s">
        <v>38</v>
      </c>
      <c r="C95" s="7">
        <v>256</v>
      </c>
      <c r="D95" s="7" t="s">
        <v>43</v>
      </c>
      <c r="E95" s="7">
        <f t="shared" si="66"/>
        <v>22.59</v>
      </c>
      <c r="F95" s="10">
        <f>280000</f>
        <v>280000</v>
      </c>
      <c r="G95" s="11">
        <f t="shared" si="11"/>
        <v>4.9603174603174605</v>
      </c>
      <c r="H95" s="7">
        <f t="shared" si="12"/>
        <v>1269.8412698412699</v>
      </c>
      <c r="I95" s="12">
        <f t="shared" ref="I95:I98" si="72">H95*E12</f>
        <v>3496.8253968253971</v>
      </c>
      <c r="J95" s="11">
        <f t="shared" ref="J95:J98" si="73">(H95*I12)/1000000</f>
        <v>0.79365079365079372</v>
      </c>
      <c r="K95" s="11">
        <f t="shared" si="15"/>
        <v>29.761904761904763</v>
      </c>
      <c r="L95" s="7">
        <f t="shared" si="16"/>
        <v>7619.0476190476193</v>
      </c>
      <c r="M95" s="12">
        <f t="shared" ref="M95:M98" si="74">L95*E12</f>
        <v>20980.952380952382</v>
      </c>
      <c r="N95" s="11">
        <f t="shared" ref="N95:N98" si="75">(L95*I12)/1000000</f>
        <v>4.7619047619047619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" x14ac:dyDescent="0.15">
      <c r="A96" s="7" t="s">
        <v>20</v>
      </c>
      <c r="B96" s="7" t="s">
        <v>40</v>
      </c>
      <c r="C96" s="7">
        <v>256</v>
      </c>
      <c r="D96" s="7" t="s">
        <v>43</v>
      </c>
      <c r="E96" s="7">
        <f t="shared" si="66"/>
        <v>22.59</v>
      </c>
      <c r="F96" s="10">
        <f>36851.98</f>
        <v>36851.980000000003</v>
      </c>
      <c r="G96" s="11">
        <f t="shared" si="11"/>
        <v>37.688311154214475</v>
      </c>
      <c r="H96" s="7">
        <f t="shared" si="12"/>
        <v>9648.2076554789055</v>
      </c>
      <c r="I96" s="12">
        <f t="shared" si="72"/>
        <v>35433.042614746279</v>
      </c>
      <c r="J96" s="11">
        <f t="shared" si="73"/>
        <v>7.8391687200766107</v>
      </c>
      <c r="K96" s="11">
        <f t="shared" si="15"/>
        <v>226.12986692528688</v>
      </c>
      <c r="L96" s="7">
        <f t="shared" si="16"/>
        <v>57889.24593287344</v>
      </c>
      <c r="M96" s="12">
        <f t="shared" si="74"/>
        <v>212598.25568847772</v>
      </c>
      <c r="N96" s="11">
        <f t="shared" si="75"/>
        <v>47.035012320459671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" x14ac:dyDescent="0.15">
      <c r="A97" s="7" t="s">
        <v>20</v>
      </c>
      <c r="B97" s="7" t="s">
        <v>39</v>
      </c>
      <c r="C97" s="7">
        <v>256</v>
      </c>
      <c r="D97" s="7" t="s">
        <v>43</v>
      </c>
      <c r="E97" s="7">
        <f t="shared" si="66"/>
        <v>22.59</v>
      </c>
      <c r="F97" s="10">
        <f t="shared" ref="F97:F98" si="76">1140000</f>
        <v>1140000</v>
      </c>
      <c r="G97" s="11">
        <f t="shared" si="11"/>
        <v>1.2183235867446394</v>
      </c>
      <c r="H97" s="7">
        <f t="shared" si="12"/>
        <v>311.89083820662768</v>
      </c>
      <c r="I97" s="12">
        <f t="shared" si="72"/>
        <v>1060.428849902534</v>
      </c>
      <c r="J97" s="11">
        <f t="shared" si="73"/>
        <v>0.25341130604288498</v>
      </c>
      <c r="K97" s="11">
        <f t="shared" si="15"/>
        <v>7.3099415204678362</v>
      </c>
      <c r="L97" s="7">
        <f t="shared" si="16"/>
        <v>1871.3450292397661</v>
      </c>
      <c r="M97" s="12">
        <f t="shared" si="74"/>
        <v>6362.5730994152045</v>
      </c>
      <c r="N97" s="11">
        <f t="shared" si="75"/>
        <v>1.5204678362573099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" x14ac:dyDescent="0.15">
      <c r="A98" s="7" t="s">
        <v>20</v>
      </c>
      <c r="B98" s="7" t="s">
        <v>40</v>
      </c>
      <c r="C98" s="7">
        <v>256</v>
      </c>
      <c r="D98" s="7" t="s">
        <v>43</v>
      </c>
      <c r="E98" s="7">
        <f t="shared" si="66"/>
        <v>22.59</v>
      </c>
      <c r="F98" s="10">
        <f t="shared" si="76"/>
        <v>1140000</v>
      </c>
      <c r="G98" s="11">
        <f t="shared" si="11"/>
        <v>1.2183235867446394</v>
      </c>
      <c r="H98" s="7">
        <f t="shared" si="12"/>
        <v>311.89083820662768</v>
      </c>
      <c r="I98" s="12">
        <f t="shared" si="72"/>
        <v>1277.5828460038988</v>
      </c>
      <c r="J98" s="11">
        <f t="shared" si="73"/>
        <v>0.25341130604288498</v>
      </c>
      <c r="K98" s="11">
        <f t="shared" si="15"/>
        <v>7.3099415204678362</v>
      </c>
      <c r="L98" s="7">
        <f t="shared" si="16"/>
        <v>1871.3450292397661</v>
      </c>
      <c r="M98" s="12">
        <f t="shared" si="74"/>
        <v>7665.4970760233928</v>
      </c>
      <c r="N98" s="11">
        <f t="shared" si="75"/>
        <v>1.5204678362573099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" x14ac:dyDescent="0.15">
      <c r="A99" s="7" t="s">
        <v>23</v>
      </c>
      <c r="B99" s="7" t="s">
        <v>39</v>
      </c>
      <c r="C99" s="7">
        <v>256</v>
      </c>
      <c r="D99" s="7" t="s">
        <v>43</v>
      </c>
      <c r="E99" s="7">
        <f t="shared" si="66"/>
        <v>22.59</v>
      </c>
      <c r="F99" s="10">
        <f>410000</f>
        <v>410000</v>
      </c>
      <c r="G99" s="11">
        <f t="shared" si="11"/>
        <v>3.3875338753387538</v>
      </c>
      <c r="H99" s="7">
        <f t="shared" si="12"/>
        <v>867.20867208672098</v>
      </c>
      <c r="I99" s="12">
        <f t="shared" ref="I99:I101" si="77">H99*E17</f>
        <v>3185.9078590785912</v>
      </c>
      <c r="J99" s="11">
        <f t="shared" ref="J99:J101" si="78">(H99*I17)/1000000</f>
        <v>0.70460704607046076</v>
      </c>
      <c r="K99" s="11">
        <f t="shared" si="15"/>
        <v>20.325203252032519</v>
      </c>
      <c r="L99" s="7">
        <f t="shared" si="16"/>
        <v>5203.252032520325</v>
      </c>
      <c r="M99" s="12">
        <f t="shared" ref="M99:M101" si="79">L99*E17</f>
        <v>19115.447154471545</v>
      </c>
      <c r="N99" s="11">
        <f t="shared" ref="N99:N101" si="80">(L99*I17)/1000000</f>
        <v>4.2276422764227641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" x14ac:dyDescent="0.15">
      <c r="A100" s="7" t="s">
        <v>23</v>
      </c>
      <c r="B100" s="7" t="s">
        <v>42</v>
      </c>
      <c r="C100" s="7">
        <v>256</v>
      </c>
      <c r="D100" s="7" t="s">
        <v>43</v>
      </c>
      <c r="E100" s="7">
        <f t="shared" si="66"/>
        <v>22.59</v>
      </c>
      <c r="F100" s="10">
        <f>250000</f>
        <v>250000</v>
      </c>
      <c r="G100" s="11">
        <f t="shared" si="11"/>
        <v>5.5555555555555554</v>
      </c>
      <c r="H100" s="7">
        <f t="shared" si="12"/>
        <v>1422.2222222222222</v>
      </c>
      <c r="I100" s="12">
        <f t="shared" si="77"/>
        <v>4954.666666666667</v>
      </c>
      <c r="J100" s="11">
        <f t="shared" si="78"/>
        <v>1.1555555555555554</v>
      </c>
      <c r="K100" s="11">
        <f t="shared" si="15"/>
        <v>33.333333333333336</v>
      </c>
      <c r="L100" s="7">
        <f t="shared" si="16"/>
        <v>8533.3333333333339</v>
      </c>
      <c r="M100" s="12">
        <f t="shared" si="79"/>
        <v>29728.000000000004</v>
      </c>
      <c r="N100" s="11">
        <f t="shared" si="80"/>
        <v>6.9333333333333336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" x14ac:dyDescent="0.15">
      <c r="A101" s="7" t="s">
        <v>23</v>
      </c>
      <c r="B101" s="7" t="s">
        <v>40</v>
      </c>
      <c r="C101" s="7">
        <v>256</v>
      </c>
      <c r="D101" s="7" t="s">
        <v>43</v>
      </c>
      <c r="E101" s="7">
        <f t="shared" si="66"/>
        <v>22.59</v>
      </c>
      <c r="F101" s="10">
        <f>410000</f>
        <v>410000</v>
      </c>
      <c r="G101" s="11">
        <f t="shared" si="11"/>
        <v>3.3875338753387538</v>
      </c>
      <c r="H101" s="7">
        <f t="shared" si="12"/>
        <v>867.20867208672098</v>
      </c>
      <c r="I101" s="12">
        <f t="shared" si="77"/>
        <v>4950.6775067750687</v>
      </c>
      <c r="J101" s="11">
        <f t="shared" si="78"/>
        <v>0.70460704607046076</v>
      </c>
      <c r="K101" s="11">
        <f t="shared" si="15"/>
        <v>20.325203252032519</v>
      </c>
      <c r="L101" s="7">
        <f t="shared" si="16"/>
        <v>5203.252032520325</v>
      </c>
      <c r="M101" s="12">
        <f t="shared" si="79"/>
        <v>29704.065040650406</v>
      </c>
      <c r="N101" s="11">
        <f t="shared" si="80"/>
        <v>4.2276422764227641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" x14ac:dyDescent="0.15">
      <c r="A102" s="7" t="s">
        <v>14</v>
      </c>
      <c r="B102" s="7" t="s">
        <v>38</v>
      </c>
      <c r="C102" s="7">
        <v>256</v>
      </c>
      <c r="D102" s="7" t="s">
        <v>44</v>
      </c>
      <c r="E102" s="7">
        <f t="shared" ref="E102:E106" si="81">6.42*3</f>
        <v>19.259999999999998</v>
      </c>
      <c r="F102" s="10">
        <v>260000</v>
      </c>
      <c r="G102" s="11">
        <f t="shared" si="11"/>
        <v>5.3418803418803416</v>
      </c>
      <c r="H102" s="7">
        <f t="shared" si="12"/>
        <v>1367.5213675213674</v>
      </c>
      <c r="I102" s="12">
        <f t="shared" ref="I102:I105" si="82">H102*E7</f>
        <v>5335.0427350427344</v>
      </c>
      <c r="J102" s="11">
        <f t="shared" ref="J102:J105" si="83">(H102*I7)/1000000</f>
        <v>0.85470085470085466</v>
      </c>
      <c r="K102" s="11">
        <f t="shared" si="15"/>
        <v>32.051282051282051</v>
      </c>
      <c r="L102" s="7">
        <f t="shared" si="16"/>
        <v>8205.1282051282051</v>
      </c>
      <c r="M102" s="12">
        <f t="shared" ref="M102:M105" si="84">L102*E7</f>
        <v>32010.25641025641</v>
      </c>
      <c r="N102" s="11">
        <f t="shared" ref="N102:N105" si="85">(L102*I7)/1000000</f>
        <v>5.1282051282051277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" x14ac:dyDescent="0.15">
      <c r="A103" s="7" t="s">
        <v>14</v>
      </c>
      <c r="B103" s="7" t="s">
        <v>39</v>
      </c>
      <c r="C103" s="7">
        <v>256</v>
      </c>
      <c r="D103" s="7" t="s">
        <v>44</v>
      </c>
      <c r="E103" s="7">
        <f t="shared" si="81"/>
        <v>19.259999999999998</v>
      </c>
      <c r="F103" s="10">
        <f t="shared" ref="F103:F104" si="86">710000</f>
        <v>710000</v>
      </c>
      <c r="G103" s="11">
        <f t="shared" si="11"/>
        <v>1.9561815336463224</v>
      </c>
      <c r="H103" s="7">
        <f t="shared" si="12"/>
        <v>500.78247261345854</v>
      </c>
      <c r="I103" s="12">
        <f t="shared" si="82"/>
        <v>2051.9561815336465</v>
      </c>
      <c r="J103" s="11">
        <f t="shared" si="83"/>
        <v>0.40688575899843504</v>
      </c>
      <c r="K103" s="11">
        <f t="shared" si="15"/>
        <v>11.737089201877934</v>
      </c>
      <c r="L103" s="7">
        <f t="shared" si="16"/>
        <v>3004.6948356807511</v>
      </c>
      <c r="M103" s="12">
        <f t="shared" si="84"/>
        <v>12311.737089201879</v>
      </c>
      <c r="N103" s="11">
        <f t="shared" si="85"/>
        <v>2.4413145539906105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" x14ac:dyDescent="0.15">
      <c r="A104" s="7" t="s">
        <v>14</v>
      </c>
      <c r="B104" s="7" t="s">
        <v>40</v>
      </c>
      <c r="C104" s="7">
        <v>256</v>
      </c>
      <c r="D104" s="7" t="s">
        <v>44</v>
      </c>
      <c r="E104" s="7">
        <f t="shared" si="81"/>
        <v>19.259999999999998</v>
      </c>
      <c r="F104" s="10">
        <f t="shared" si="86"/>
        <v>710000</v>
      </c>
      <c r="G104" s="11">
        <f t="shared" si="11"/>
        <v>1.9561815336463224</v>
      </c>
      <c r="H104" s="7">
        <f t="shared" si="12"/>
        <v>500.78247261345854</v>
      </c>
      <c r="I104" s="12">
        <f t="shared" si="82"/>
        <v>2564.6322378716745</v>
      </c>
      <c r="J104" s="11">
        <f t="shared" si="83"/>
        <v>0.40688575899843504</v>
      </c>
      <c r="K104" s="11">
        <f t="shared" si="15"/>
        <v>11.737089201877934</v>
      </c>
      <c r="L104" s="7">
        <f t="shared" si="16"/>
        <v>3004.6948356807511</v>
      </c>
      <c r="M104" s="12">
        <f t="shared" si="84"/>
        <v>15387.793427230046</v>
      </c>
      <c r="N104" s="11">
        <f t="shared" si="85"/>
        <v>2.4413145539906105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" x14ac:dyDescent="0.15">
      <c r="A105" s="7" t="s">
        <v>14</v>
      </c>
      <c r="B105" s="7" t="s">
        <v>41</v>
      </c>
      <c r="C105" s="7">
        <v>256</v>
      </c>
      <c r="D105" s="7" t="s">
        <v>44</v>
      </c>
      <c r="E105" s="7">
        <f t="shared" si="81"/>
        <v>19.259999999999998</v>
      </c>
      <c r="F105" s="10">
        <f>1710000</f>
        <v>1710000</v>
      </c>
      <c r="G105" s="11">
        <f t="shared" si="11"/>
        <v>0.81221572449642621</v>
      </c>
      <c r="H105" s="7">
        <f t="shared" si="12"/>
        <v>207.92722547108511</v>
      </c>
      <c r="I105" s="12">
        <f t="shared" si="82"/>
        <v>2555.4256010396357</v>
      </c>
      <c r="J105" s="11">
        <f t="shared" si="83"/>
        <v>0.26510721247563351</v>
      </c>
      <c r="K105" s="11">
        <f t="shared" si="15"/>
        <v>4.8732943469785575</v>
      </c>
      <c r="L105" s="7">
        <f t="shared" si="16"/>
        <v>1247.5633528265107</v>
      </c>
      <c r="M105" s="12">
        <f t="shared" si="84"/>
        <v>15332.553606237816</v>
      </c>
      <c r="N105" s="11">
        <f t="shared" si="85"/>
        <v>1.5906432748538011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" x14ac:dyDescent="0.15">
      <c r="A106" s="7" t="s">
        <v>20</v>
      </c>
      <c r="B106" s="7" t="s">
        <v>38</v>
      </c>
      <c r="C106" s="7">
        <v>256</v>
      </c>
      <c r="D106" s="7" t="s">
        <v>44</v>
      </c>
      <c r="E106" s="7">
        <f t="shared" si="81"/>
        <v>19.259999999999998</v>
      </c>
      <c r="F106" s="10">
        <f>260000</f>
        <v>260000</v>
      </c>
      <c r="G106" s="11">
        <f t="shared" si="11"/>
        <v>5.3418803418803416</v>
      </c>
      <c r="H106" s="7">
        <f t="shared" si="12"/>
        <v>1367.5213675213674</v>
      </c>
      <c r="I106" s="12">
        <f t="shared" ref="I106:I109" si="87">H106*E12</f>
        <v>3765.8119658119658</v>
      </c>
      <c r="J106" s="11">
        <f t="shared" ref="J106:J109" si="88">(H106*I12)/1000000</f>
        <v>0.85470085470085466</v>
      </c>
      <c r="K106" s="11">
        <f t="shared" si="15"/>
        <v>32.051282051282051</v>
      </c>
      <c r="L106" s="7">
        <f t="shared" si="16"/>
        <v>8205.1282051282051</v>
      </c>
      <c r="M106" s="12">
        <f t="shared" ref="M106:M109" si="89">L106*E12</f>
        <v>22594.871794871797</v>
      </c>
      <c r="N106" s="11">
        <f t="shared" ref="N106:N109" si="90">(L106*I12)/1000000</f>
        <v>5.1282051282051277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" x14ac:dyDescent="0.15">
      <c r="A107" s="7" t="s">
        <v>20</v>
      </c>
      <c r="B107" s="7" t="s">
        <v>40</v>
      </c>
      <c r="C107" s="7">
        <v>256</v>
      </c>
      <c r="D107" s="7" t="s">
        <v>44</v>
      </c>
      <c r="E107" s="7">
        <f>6.58*3</f>
        <v>19.740000000000002</v>
      </c>
      <c r="F107" s="10">
        <f>27762.19</f>
        <v>27762.19</v>
      </c>
      <c r="G107" s="11">
        <f t="shared" si="11"/>
        <v>50.028073753867723</v>
      </c>
      <c r="H107" s="7">
        <f t="shared" si="12"/>
        <v>12807.186880990137</v>
      </c>
      <c r="I107" s="12">
        <f t="shared" si="87"/>
        <v>47034.393820436278</v>
      </c>
      <c r="J107" s="11">
        <f t="shared" si="88"/>
        <v>10.405839340804485</v>
      </c>
      <c r="K107" s="11">
        <f t="shared" si="15"/>
        <v>300.16844252320635</v>
      </c>
      <c r="L107" s="7">
        <f t="shared" si="16"/>
        <v>76843.121285940826</v>
      </c>
      <c r="M107" s="12">
        <f t="shared" si="89"/>
        <v>282206.3629226177</v>
      </c>
      <c r="N107" s="11">
        <f t="shared" si="90"/>
        <v>62.435036044826923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" x14ac:dyDescent="0.15">
      <c r="A108" s="7" t="s">
        <v>20</v>
      </c>
      <c r="B108" s="7" t="s">
        <v>39</v>
      </c>
      <c r="C108" s="7">
        <v>256</v>
      </c>
      <c r="D108" s="7" t="s">
        <v>44</v>
      </c>
      <c r="E108" s="7">
        <f t="shared" ref="E108:E110" si="91">6.42*3</f>
        <v>19.259999999999998</v>
      </c>
      <c r="F108" s="10">
        <f t="shared" ref="F108:F109" si="92">1040000</f>
        <v>1040000</v>
      </c>
      <c r="G108" s="11">
        <f t="shared" si="11"/>
        <v>1.3354700854700854</v>
      </c>
      <c r="H108" s="7">
        <f t="shared" si="12"/>
        <v>341.88034188034186</v>
      </c>
      <c r="I108" s="12">
        <f t="shared" si="87"/>
        <v>1162.3931623931624</v>
      </c>
      <c r="J108" s="11">
        <f t="shared" si="88"/>
        <v>0.27777777777777773</v>
      </c>
      <c r="K108" s="11">
        <f t="shared" si="15"/>
        <v>8.0128205128205128</v>
      </c>
      <c r="L108" s="7">
        <f t="shared" si="16"/>
        <v>2051.2820512820513</v>
      </c>
      <c r="M108" s="12">
        <f t="shared" si="89"/>
        <v>6974.3589743589737</v>
      </c>
      <c r="N108" s="11">
        <f t="shared" si="90"/>
        <v>1.6666666666666667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" x14ac:dyDescent="0.15">
      <c r="A109" s="7" t="s">
        <v>20</v>
      </c>
      <c r="B109" s="7" t="s">
        <v>40</v>
      </c>
      <c r="C109" s="7">
        <v>256</v>
      </c>
      <c r="D109" s="7" t="s">
        <v>44</v>
      </c>
      <c r="E109" s="7">
        <f t="shared" si="91"/>
        <v>19.259999999999998</v>
      </c>
      <c r="F109" s="10">
        <f t="shared" si="92"/>
        <v>1040000</v>
      </c>
      <c r="G109" s="11">
        <f t="shared" si="11"/>
        <v>1.3354700854700854</v>
      </c>
      <c r="H109" s="7">
        <f t="shared" si="12"/>
        <v>341.88034188034186</v>
      </c>
      <c r="I109" s="12">
        <f t="shared" si="87"/>
        <v>1400.4273504273506</v>
      </c>
      <c r="J109" s="11">
        <f t="shared" si="88"/>
        <v>0.27777777777777773</v>
      </c>
      <c r="K109" s="11">
        <f t="shared" si="15"/>
        <v>8.0128205128205128</v>
      </c>
      <c r="L109" s="7">
        <f t="shared" si="16"/>
        <v>2051.2820512820513</v>
      </c>
      <c r="M109" s="12">
        <f t="shared" si="89"/>
        <v>8402.5641025641035</v>
      </c>
      <c r="N109" s="11">
        <f t="shared" si="90"/>
        <v>1.6666666666666667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" x14ac:dyDescent="0.15">
      <c r="A110" s="7" t="s">
        <v>23</v>
      </c>
      <c r="B110" s="7" t="s">
        <v>39</v>
      </c>
      <c r="C110" s="7">
        <v>256</v>
      </c>
      <c r="D110" s="7" t="s">
        <v>44</v>
      </c>
      <c r="E110" s="7">
        <f t="shared" si="91"/>
        <v>19.259999999999998</v>
      </c>
      <c r="F110" s="10">
        <f>390000</f>
        <v>390000</v>
      </c>
      <c r="G110" s="11">
        <f t="shared" si="11"/>
        <v>3.5612535612535612</v>
      </c>
      <c r="H110" s="7">
        <f t="shared" si="12"/>
        <v>911.68091168091166</v>
      </c>
      <c r="I110" s="12">
        <f t="shared" ref="I110:I112" si="93">H110*E17</f>
        <v>3349.2877492877492</v>
      </c>
      <c r="J110" s="11">
        <f t="shared" ref="J110:J112" si="94">(H110*I17)/1000000</f>
        <v>0.7407407407407407</v>
      </c>
      <c r="K110" s="11">
        <f t="shared" si="15"/>
        <v>21.367521367521366</v>
      </c>
      <c r="L110" s="7">
        <f t="shared" si="16"/>
        <v>5470.0854700854698</v>
      </c>
      <c r="M110" s="12">
        <f t="shared" ref="M110:M112" si="95">L110*E17</f>
        <v>20095.726495726496</v>
      </c>
      <c r="N110" s="11">
        <f t="shared" ref="N110:N112" si="96">(L110*I17)/1000000</f>
        <v>4.4444444444444438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" x14ac:dyDescent="0.15">
      <c r="A111" s="7" t="s">
        <v>23</v>
      </c>
      <c r="B111" s="7" t="s">
        <v>42</v>
      </c>
      <c r="C111" s="7">
        <v>256</v>
      </c>
      <c r="D111" s="7" t="s">
        <v>44</v>
      </c>
      <c r="E111" s="7">
        <f>6.34*3</f>
        <v>19.02</v>
      </c>
      <c r="F111" s="10">
        <f>240000</f>
        <v>240000</v>
      </c>
      <c r="G111" s="11">
        <f t="shared" si="11"/>
        <v>5.7870370370370363</v>
      </c>
      <c r="H111" s="7">
        <f t="shared" si="12"/>
        <v>1481.4814814814813</v>
      </c>
      <c r="I111" s="12">
        <f t="shared" si="93"/>
        <v>5161.1111111111104</v>
      </c>
      <c r="J111" s="11">
        <f t="shared" si="94"/>
        <v>1.2037037037037035</v>
      </c>
      <c r="K111" s="11">
        <f t="shared" si="15"/>
        <v>34.722222222222221</v>
      </c>
      <c r="L111" s="7">
        <f t="shared" si="16"/>
        <v>8888.8888888888887</v>
      </c>
      <c r="M111" s="12">
        <f t="shared" si="95"/>
        <v>30966.666666666668</v>
      </c>
      <c r="N111" s="11">
        <f t="shared" si="96"/>
        <v>7.2222222222222223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" x14ac:dyDescent="0.15">
      <c r="A112" s="7" t="s">
        <v>23</v>
      </c>
      <c r="B112" s="7" t="s">
        <v>40</v>
      </c>
      <c r="C112" s="7">
        <v>256</v>
      </c>
      <c r="D112" s="7" t="s">
        <v>44</v>
      </c>
      <c r="E112" s="7">
        <f>6.42*3</f>
        <v>19.259999999999998</v>
      </c>
      <c r="F112" s="10">
        <f>390000</f>
        <v>390000</v>
      </c>
      <c r="G112" s="11">
        <f t="shared" si="11"/>
        <v>3.5612535612535612</v>
      </c>
      <c r="H112" s="7">
        <f t="shared" si="12"/>
        <v>911.68091168091166</v>
      </c>
      <c r="I112" s="12">
        <f t="shared" si="93"/>
        <v>5204.5584045584046</v>
      </c>
      <c r="J112" s="11">
        <f t="shared" si="94"/>
        <v>0.7407407407407407</v>
      </c>
      <c r="K112" s="11">
        <f t="shared" si="15"/>
        <v>21.367521367521366</v>
      </c>
      <c r="L112" s="7">
        <f t="shared" si="16"/>
        <v>5470.0854700854698</v>
      </c>
      <c r="M112" s="12">
        <f t="shared" si="95"/>
        <v>31227.350427350426</v>
      </c>
      <c r="N112" s="11">
        <f t="shared" si="96"/>
        <v>4.4444444444444438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4" x14ac:dyDescent="0.15">
      <c r="A113" s="14" t="s">
        <v>14</v>
      </c>
      <c r="B113" s="14" t="s">
        <v>39</v>
      </c>
      <c r="C113" s="15">
        <v>128</v>
      </c>
      <c r="D113" s="14" t="s">
        <v>37</v>
      </c>
      <c r="E113" s="14">
        <f t="shared" ref="E113:E121" si="97">12.52*3</f>
        <v>37.56</v>
      </c>
      <c r="F113" s="16">
        <f t="shared" ref="F113:F114" si="98">330000</f>
        <v>330000</v>
      </c>
      <c r="G113" s="17">
        <f t="shared" si="11"/>
        <v>4.2087542087542085</v>
      </c>
      <c r="H113" s="14">
        <f t="shared" si="12"/>
        <v>538.72053872053868</v>
      </c>
      <c r="I113" s="18">
        <f t="shared" ref="I113:I115" si="99">H113*E8</f>
        <v>2207.4074074074074</v>
      </c>
      <c r="J113" s="17">
        <f t="shared" ref="J113:J115" si="100">(H113*I8)/1000000</f>
        <v>0.43771043771043772</v>
      </c>
      <c r="K113" s="17">
        <f t="shared" si="15"/>
        <v>25.252525252525253</v>
      </c>
      <c r="L113" s="14">
        <f t="shared" si="16"/>
        <v>3232.3232323232323</v>
      </c>
      <c r="M113" s="18">
        <f t="shared" ref="M113:M115" si="101">L113*E8</f>
        <v>13244.444444444445</v>
      </c>
      <c r="N113" s="17">
        <f t="shared" ref="N113:N115" si="102">(L113*I8)/1000000</f>
        <v>2.6262626262626263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4" x14ac:dyDescent="0.15">
      <c r="A114" s="14" t="s">
        <v>14</v>
      </c>
      <c r="B114" s="14" t="s">
        <v>40</v>
      </c>
      <c r="C114" s="15">
        <v>128</v>
      </c>
      <c r="D114" s="14" t="s">
        <v>37</v>
      </c>
      <c r="E114" s="14">
        <f t="shared" si="97"/>
        <v>37.56</v>
      </c>
      <c r="F114" s="16">
        <f t="shared" si="98"/>
        <v>330000</v>
      </c>
      <c r="G114" s="17">
        <f t="shared" si="11"/>
        <v>4.2087542087542085</v>
      </c>
      <c r="H114" s="14">
        <f t="shared" si="12"/>
        <v>538.72053872053868</v>
      </c>
      <c r="I114" s="18">
        <f t="shared" si="99"/>
        <v>2758.9225589225584</v>
      </c>
      <c r="J114" s="17">
        <f t="shared" si="100"/>
        <v>0.43771043771043772</v>
      </c>
      <c r="K114" s="17">
        <f t="shared" si="15"/>
        <v>25.252525252525253</v>
      </c>
      <c r="L114" s="14">
        <f t="shared" si="16"/>
        <v>3232.3232323232323</v>
      </c>
      <c r="M114" s="18">
        <f t="shared" si="101"/>
        <v>16553.535353535353</v>
      </c>
      <c r="N114" s="17">
        <f t="shared" si="102"/>
        <v>2.6262626262626263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4" x14ac:dyDescent="0.15">
      <c r="A115" s="14" t="s">
        <v>14</v>
      </c>
      <c r="B115" s="14" t="s">
        <v>41</v>
      </c>
      <c r="C115" s="15">
        <v>128</v>
      </c>
      <c r="D115" s="14" t="s">
        <v>37</v>
      </c>
      <c r="E115" s="14">
        <f t="shared" si="97"/>
        <v>37.56</v>
      </c>
      <c r="F115" s="16">
        <f>1000000</f>
        <v>1000000</v>
      </c>
      <c r="G115" s="17">
        <f t="shared" si="11"/>
        <v>1.3888888888888888</v>
      </c>
      <c r="H115" s="14">
        <f t="shared" si="12"/>
        <v>177.77777777777777</v>
      </c>
      <c r="I115" s="18">
        <f t="shared" si="99"/>
        <v>2184.8888888888887</v>
      </c>
      <c r="J115" s="17">
        <f t="shared" si="100"/>
        <v>0.22666666666666666</v>
      </c>
      <c r="K115" s="17">
        <f t="shared" si="15"/>
        <v>8.3333333333333339</v>
      </c>
      <c r="L115" s="14">
        <f t="shared" si="16"/>
        <v>1066.6666666666667</v>
      </c>
      <c r="M115" s="18">
        <f t="shared" si="101"/>
        <v>13109.333333333334</v>
      </c>
      <c r="N115" s="17">
        <f t="shared" si="102"/>
        <v>1.36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4" x14ac:dyDescent="0.15">
      <c r="A116" s="7" t="s">
        <v>20</v>
      </c>
      <c r="B116" s="7" t="s">
        <v>40</v>
      </c>
      <c r="C116" s="19">
        <v>128</v>
      </c>
      <c r="D116" s="7" t="s">
        <v>37</v>
      </c>
      <c r="E116" s="7">
        <f t="shared" si="97"/>
        <v>37.56</v>
      </c>
      <c r="F116" s="10">
        <f>23219.39</f>
        <v>23219.39</v>
      </c>
      <c r="G116" s="11">
        <f t="shared" si="11"/>
        <v>59.815907691325613</v>
      </c>
      <c r="H116" s="7">
        <f t="shared" si="12"/>
        <v>7656.4361844896785</v>
      </c>
      <c r="I116" s="12">
        <f t="shared" ref="I116:I118" si="103">H116*E13</f>
        <v>28118.261887538341</v>
      </c>
      <c r="J116" s="11">
        <f t="shared" ref="J116:J118" si="104">(H116*I13)/1000000</f>
        <v>6.2208543998978643</v>
      </c>
      <c r="K116" s="11">
        <f t="shared" si="15"/>
        <v>358.89544614795363</v>
      </c>
      <c r="L116" s="7">
        <f t="shared" si="16"/>
        <v>45938.617106938065</v>
      </c>
      <c r="M116" s="12">
        <f t="shared" ref="M116:M118" si="105">L116*E13</f>
        <v>168709.57132523003</v>
      </c>
      <c r="N116" s="11">
        <f t="shared" ref="N116:N118" si="106">(L116*I13)/1000000</f>
        <v>37.32512639938718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4" x14ac:dyDescent="0.15">
      <c r="A117" s="14" t="s">
        <v>20</v>
      </c>
      <c r="B117" s="14" t="s">
        <v>39</v>
      </c>
      <c r="C117" s="15">
        <v>128</v>
      </c>
      <c r="D117" s="14" t="s">
        <v>37</v>
      </c>
      <c r="E117" s="14">
        <f t="shared" si="97"/>
        <v>37.56</v>
      </c>
      <c r="F117" s="16">
        <f t="shared" ref="F117:F118" si="107">590000</f>
        <v>590000</v>
      </c>
      <c r="G117" s="17">
        <f t="shared" si="11"/>
        <v>2.3540489642184559</v>
      </c>
      <c r="H117" s="14">
        <f t="shared" si="12"/>
        <v>301.31826741996235</v>
      </c>
      <c r="I117" s="18">
        <f t="shared" si="103"/>
        <v>1024.4821092278719</v>
      </c>
      <c r="J117" s="17">
        <f t="shared" si="104"/>
        <v>0.24482109227871943</v>
      </c>
      <c r="K117" s="17">
        <f t="shared" si="15"/>
        <v>14.124293785310735</v>
      </c>
      <c r="L117" s="14">
        <f t="shared" si="16"/>
        <v>1807.9096045197741</v>
      </c>
      <c r="M117" s="18">
        <f t="shared" si="105"/>
        <v>6146.8926553672318</v>
      </c>
      <c r="N117" s="17">
        <f t="shared" si="106"/>
        <v>1.4689265536723164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4" x14ac:dyDescent="0.15">
      <c r="A118" s="14" t="s">
        <v>20</v>
      </c>
      <c r="B118" s="14" t="s">
        <v>40</v>
      </c>
      <c r="C118" s="15">
        <v>128</v>
      </c>
      <c r="D118" s="14" t="s">
        <v>37</v>
      </c>
      <c r="E118" s="14">
        <f t="shared" si="97"/>
        <v>37.56</v>
      </c>
      <c r="F118" s="16">
        <f t="shared" si="107"/>
        <v>590000</v>
      </c>
      <c r="G118" s="17">
        <f t="shared" si="11"/>
        <v>2.3540489642184559</v>
      </c>
      <c r="H118" s="14">
        <f t="shared" si="12"/>
        <v>301.31826741996235</v>
      </c>
      <c r="I118" s="18">
        <f t="shared" si="103"/>
        <v>1234.274952919021</v>
      </c>
      <c r="J118" s="17">
        <f t="shared" si="104"/>
        <v>0.24482109227871943</v>
      </c>
      <c r="K118" s="17">
        <f t="shared" si="15"/>
        <v>14.124293785310735</v>
      </c>
      <c r="L118" s="14">
        <f t="shared" si="16"/>
        <v>1807.9096045197741</v>
      </c>
      <c r="M118" s="18">
        <f t="shared" si="105"/>
        <v>7405.6497175141258</v>
      </c>
      <c r="N118" s="17">
        <f t="shared" si="106"/>
        <v>1.4689265536723164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4" x14ac:dyDescent="0.15">
      <c r="A119" s="14" t="s">
        <v>23</v>
      </c>
      <c r="B119" s="14" t="s">
        <v>39</v>
      </c>
      <c r="C119" s="15">
        <v>128</v>
      </c>
      <c r="D119" s="14" t="s">
        <v>37</v>
      </c>
      <c r="E119" s="14">
        <f t="shared" si="97"/>
        <v>37.56</v>
      </c>
      <c r="F119" s="16">
        <f>130000</f>
        <v>130000</v>
      </c>
      <c r="G119" s="17">
        <f t="shared" si="11"/>
        <v>10.683760683760683</v>
      </c>
      <c r="H119" s="14">
        <f t="shared" si="12"/>
        <v>1367.5213675213674</v>
      </c>
      <c r="I119" s="18">
        <f t="shared" ref="I119:I121" si="108">H119*E17</f>
        <v>5023.931623931624</v>
      </c>
      <c r="J119" s="17">
        <f t="shared" ref="J119:J121" si="109">(H119*I17)/1000000</f>
        <v>1.1111111111111109</v>
      </c>
      <c r="K119" s="17">
        <f t="shared" si="15"/>
        <v>64.102564102564102</v>
      </c>
      <c r="L119" s="14">
        <f t="shared" si="16"/>
        <v>8205.1282051282051</v>
      </c>
      <c r="M119" s="18">
        <f t="shared" ref="M119:M121" si="110">L119*E17</f>
        <v>30143.589743589742</v>
      </c>
      <c r="N119" s="17">
        <f t="shared" ref="N119:N121" si="111">(L119*I17)/1000000</f>
        <v>6.666666666666667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4" x14ac:dyDescent="0.15">
      <c r="A120" s="7" t="s">
        <v>23</v>
      </c>
      <c r="B120" s="7" t="s">
        <v>42</v>
      </c>
      <c r="C120" s="19">
        <v>128</v>
      </c>
      <c r="D120" s="7" t="s">
        <v>37</v>
      </c>
      <c r="E120" s="7">
        <f t="shared" si="97"/>
        <v>37.56</v>
      </c>
      <c r="F120" s="10">
        <f>75115.28</f>
        <v>75115.28</v>
      </c>
      <c r="G120" s="11">
        <f t="shared" si="11"/>
        <v>18.490098005211308</v>
      </c>
      <c r="H120" s="7">
        <f t="shared" si="12"/>
        <v>2366.7325446670475</v>
      </c>
      <c r="I120" s="12">
        <f t="shared" si="108"/>
        <v>8245.1045024838277</v>
      </c>
      <c r="J120" s="11">
        <f t="shared" si="109"/>
        <v>1.922970192541976</v>
      </c>
      <c r="K120" s="11">
        <f t="shared" si="15"/>
        <v>110.94058803126785</v>
      </c>
      <c r="L120" s="7">
        <f t="shared" si="16"/>
        <v>14200.395268002285</v>
      </c>
      <c r="M120" s="12">
        <f t="shared" si="110"/>
        <v>49470.627014902959</v>
      </c>
      <c r="N120" s="11">
        <f t="shared" si="111"/>
        <v>11.537821155251857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4" x14ac:dyDescent="0.15">
      <c r="A121" s="7" t="s">
        <v>23</v>
      </c>
      <c r="B121" s="7" t="s">
        <v>40</v>
      </c>
      <c r="C121" s="19">
        <v>128</v>
      </c>
      <c r="D121" s="7" t="s">
        <v>37</v>
      </c>
      <c r="E121" s="7">
        <f t="shared" si="97"/>
        <v>37.56</v>
      </c>
      <c r="F121" s="10">
        <f>130000</f>
        <v>130000</v>
      </c>
      <c r="G121" s="11">
        <f t="shared" si="11"/>
        <v>10.683760683760683</v>
      </c>
      <c r="H121" s="7">
        <f t="shared" si="12"/>
        <v>1367.5213675213674</v>
      </c>
      <c r="I121" s="12">
        <f t="shared" si="108"/>
        <v>7806.8376068376065</v>
      </c>
      <c r="J121" s="11">
        <f t="shared" si="109"/>
        <v>1.1111111111111109</v>
      </c>
      <c r="K121" s="11">
        <f t="shared" si="15"/>
        <v>64.102564102564102</v>
      </c>
      <c r="L121" s="7">
        <f t="shared" si="16"/>
        <v>8205.1282051282051</v>
      </c>
      <c r="M121" s="12">
        <f t="shared" si="110"/>
        <v>46841.025641025641</v>
      </c>
      <c r="N121" s="11">
        <f t="shared" si="111"/>
        <v>6.666666666666667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4" x14ac:dyDescent="0.15">
      <c r="A122" s="7" t="s">
        <v>14</v>
      </c>
      <c r="B122" s="7" t="s">
        <v>40</v>
      </c>
      <c r="C122" s="19">
        <v>128</v>
      </c>
      <c r="D122" s="7" t="s">
        <v>43</v>
      </c>
      <c r="E122" s="7">
        <f t="shared" ref="E122:E126" si="112">13.79*3</f>
        <v>41.37</v>
      </c>
      <c r="F122" s="10">
        <f>410000</f>
        <v>410000</v>
      </c>
      <c r="G122" s="11">
        <f t="shared" si="11"/>
        <v>3.3875338753387538</v>
      </c>
      <c r="H122" s="7">
        <f t="shared" si="12"/>
        <v>433.60433604336049</v>
      </c>
      <c r="I122" s="12">
        <f t="shared" ref="I122:I123" si="113">H122*E9</f>
        <v>2220.5962059620597</v>
      </c>
      <c r="J122" s="11">
        <f t="shared" ref="J122:J123" si="114">(H122*I9)/1000000</f>
        <v>0.35230352303523038</v>
      </c>
      <c r="K122" s="11">
        <f t="shared" si="15"/>
        <v>20.325203252032519</v>
      </c>
      <c r="L122" s="7">
        <f t="shared" si="16"/>
        <v>2601.6260162601625</v>
      </c>
      <c r="M122" s="12">
        <f t="shared" ref="M122:M123" si="115">L122*E9</f>
        <v>13323.577235772356</v>
      </c>
      <c r="N122" s="11">
        <f t="shared" ref="N122:N123" si="116">(L122*I9)/1000000</f>
        <v>2.1138211382113821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4" x14ac:dyDescent="0.15">
      <c r="A123" s="7" t="s">
        <v>14</v>
      </c>
      <c r="B123" s="7" t="s">
        <v>41</v>
      </c>
      <c r="C123" s="19">
        <v>128</v>
      </c>
      <c r="D123" s="7" t="s">
        <v>43</v>
      </c>
      <c r="E123" s="7">
        <f t="shared" si="112"/>
        <v>41.37</v>
      </c>
      <c r="F123" s="10">
        <f>1430000</f>
        <v>1430000</v>
      </c>
      <c r="G123" s="11">
        <f t="shared" si="11"/>
        <v>0.97125097125097126</v>
      </c>
      <c r="H123" s="7">
        <f t="shared" si="12"/>
        <v>124.32012432012432</v>
      </c>
      <c r="I123" s="12">
        <f t="shared" si="113"/>
        <v>1527.8943278943277</v>
      </c>
      <c r="J123" s="11">
        <f t="shared" si="114"/>
        <v>0.15850815850815853</v>
      </c>
      <c r="K123" s="11">
        <f t="shared" si="15"/>
        <v>5.8275058275058269</v>
      </c>
      <c r="L123" s="7">
        <f t="shared" si="16"/>
        <v>745.92074592074584</v>
      </c>
      <c r="M123" s="12">
        <f t="shared" si="115"/>
        <v>9167.3659673659658</v>
      </c>
      <c r="N123" s="11">
        <f t="shared" si="116"/>
        <v>0.95104895104895093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4" x14ac:dyDescent="0.15">
      <c r="A124" s="7" t="s">
        <v>20</v>
      </c>
      <c r="B124" s="7" t="s">
        <v>40</v>
      </c>
      <c r="C124" s="19">
        <v>128</v>
      </c>
      <c r="D124" s="7" t="s">
        <v>43</v>
      </c>
      <c r="E124" s="7">
        <f t="shared" si="112"/>
        <v>41.37</v>
      </c>
      <c r="F124" s="10">
        <f>33430.37</f>
        <v>33430.370000000003</v>
      </c>
      <c r="G124" s="11">
        <f t="shared" si="11"/>
        <v>41.545722912695517</v>
      </c>
      <c r="H124" s="7">
        <f t="shared" si="12"/>
        <v>5317.8525328250262</v>
      </c>
      <c r="I124" s="12">
        <f>H124*E13</f>
        <v>19529.813426799908</v>
      </c>
      <c r="J124" s="11">
        <f>(H124*I13)/1000000</f>
        <v>4.3207551829203341</v>
      </c>
      <c r="K124" s="11">
        <f t="shared" si="15"/>
        <v>249.27433747617309</v>
      </c>
      <c r="L124" s="7">
        <f t="shared" si="16"/>
        <v>31907.115196950155</v>
      </c>
      <c r="M124" s="12">
        <f>L124*E13</f>
        <v>117178.88056079944</v>
      </c>
      <c r="N124" s="11">
        <f>(L124*I13)/1000000</f>
        <v>25.924531097522003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4" x14ac:dyDescent="0.15">
      <c r="A125" s="7" t="s">
        <v>20</v>
      </c>
      <c r="B125" s="7" t="s">
        <v>40</v>
      </c>
      <c r="C125" s="19">
        <v>128</v>
      </c>
      <c r="D125" s="7" t="s">
        <v>43</v>
      </c>
      <c r="E125" s="7">
        <f t="shared" si="112"/>
        <v>41.37</v>
      </c>
      <c r="F125" s="10">
        <f>830000</f>
        <v>830000</v>
      </c>
      <c r="G125" s="11">
        <f t="shared" si="11"/>
        <v>1.6733601070950468</v>
      </c>
      <c r="H125" s="7">
        <f t="shared" si="12"/>
        <v>214.19009370816599</v>
      </c>
      <c r="I125" s="12">
        <f>H125*E15</f>
        <v>877.37617135207506</v>
      </c>
      <c r="J125" s="11">
        <f>(H125*I15)/1000000</f>
        <v>0.17402945113788487</v>
      </c>
      <c r="K125" s="11">
        <f t="shared" si="15"/>
        <v>10.040160642570282</v>
      </c>
      <c r="L125" s="7">
        <f t="shared" si="16"/>
        <v>1285.140562248996</v>
      </c>
      <c r="M125" s="12">
        <f>L125*E15</f>
        <v>5264.2570281124508</v>
      </c>
      <c r="N125" s="11">
        <f>(L125*I15)/1000000</f>
        <v>1.0441767068273093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4" x14ac:dyDescent="0.15">
      <c r="A126" s="7" t="s">
        <v>23</v>
      </c>
      <c r="B126" s="7" t="s">
        <v>40</v>
      </c>
      <c r="C126" s="19">
        <v>128</v>
      </c>
      <c r="D126" s="7" t="s">
        <v>43</v>
      </c>
      <c r="E126" s="7">
        <f t="shared" si="112"/>
        <v>41.37</v>
      </c>
      <c r="F126" s="10">
        <f>150000</f>
        <v>150000</v>
      </c>
      <c r="G126" s="11">
        <f t="shared" si="11"/>
        <v>9.2592592592592595</v>
      </c>
      <c r="H126" s="7">
        <f t="shared" si="12"/>
        <v>1185.1851851851852</v>
      </c>
      <c r="I126" s="12">
        <f>H126*E19</f>
        <v>6765.9259259259261</v>
      </c>
      <c r="J126" s="11">
        <f>(H126*I19)/1000000</f>
        <v>0.96296296296296302</v>
      </c>
      <c r="K126" s="11">
        <f t="shared" si="15"/>
        <v>55.555555555555557</v>
      </c>
      <c r="L126" s="7">
        <f t="shared" si="16"/>
        <v>7111.1111111111113</v>
      </c>
      <c r="M126" s="12">
        <f>L126*E19</f>
        <v>40595.555555555555</v>
      </c>
      <c r="N126" s="11">
        <f>(L126*I19)/1000000</f>
        <v>5.7777777777777777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4" x14ac:dyDescent="0.15">
      <c r="A127" s="7" t="s">
        <v>14</v>
      </c>
      <c r="B127" s="7" t="s">
        <v>39</v>
      </c>
      <c r="C127" s="19">
        <v>128</v>
      </c>
      <c r="D127" s="19" t="s">
        <v>44</v>
      </c>
      <c r="E127" s="7">
        <f t="shared" ref="E127:E129" si="117">12.67*3</f>
        <v>38.01</v>
      </c>
      <c r="F127" s="10">
        <f t="shared" ref="F127:F128" si="118">380000</f>
        <v>380000</v>
      </c>
      <c r="G127" s="11">
        <f t="shared" si="11"/>
        <v>3.6549707602339181</v>
      </c>
      <c r="H127" s="7">
        <f t="shared" si="12"/>
        <v>467.83625730994152</v>
      </c>
      <c r="I127" s="12">
        <f t="shared" ref="I127:I129" si="119">H127*E8</f>
        <v>1916.9590643274855</v>
      </c>
      <c r="J127" s="11">
        <f t="shared" ref="J127:J129" si="120">(H127*I8)/1000000</f>
        <v>0.38011695906432746</v>
      </c>
      <c r="K127" s="11">
        <f t="shared" si="15"/>
        <v>21.929824561403507</v>
      </c>
      <c r="L127" s="7">
        <f t="shared" si="16"/>
        <v>2807.0175438596489</v>
      </c>
      <c r="M127" s="12">
        <f t="shared" ref="M127:M129" si="121">L127*E8</f>
        <v>11501.754385964912</v>
      </c>
      <c r="N127" s="11">
        <f t="shared" ref="N127:N129" si="122">(L127*I8)/1000000</f>
        <v>2.2807017543859645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4" x14ac:dyDescent="0.15">
      <c r="A128" s="7" t="s">
        <v>14</v>
      </c>
      <c r="B128" s="7" t="s">
        <v>40</v>
      </c>
      <c r="C128" s="19">
        <v>128</v>
      </c>
      <c r="D128" s="19" t="s">
        <v>44</v>
      </c>
      <c r="E128" s="7">
        <f t="shared" si="117"/>
        <v>38.01</v>
      </c>
      <c r="F128" s="10">
        <f t="shared" si="118"/>
        <v>380000</v>
      </c>
      <c r="G128" s="11">
        <f t="shared" si="11"/>
        <v>3.6549707602339181</v>
      </c>
      <c r="H128" s="7">
        <f t="shared" si="12"/>
        <v>467.83625730994152</v>
      </c>
      <c r="I128" s="12">
        <f t="shared" si="119"/>
        <v>2395.906432748538</v>
      </c>
      <c r="J128" s="11">
        <f t="shared" si="120"/>
        <v>0.38011695906432746</v>
      </c>
      <c r="K128" s="11">
        <f t="shared" si="15"/>
        <v>21.929824561403507</v>
      </c>
      <c r="L128" s="7">
        <f t="shared" si="16"/>
        <v>2807.0175438596489</v>
      </c>
      <c r="M128" s="12">
        <f t="shared" si="121"/>
        <v>14375.438596491227</v>
      </c>
      <c r="N128" s="11">
        <f t="shared" si="122"/>
        <v>2.2807017543859645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4" x14ac:dyDescent="0.15">
      <c r="A129" s="7" t="s">
        <v>14</v>
      </c>
      <c r="B129" s="7" t="s">
        <v>41</v>
      </c>
      <c r="C129" s="19">
        <v>128</v>
      </c>
      <c r="D129" s="19" t="s">
        <v>44</v>
      </c>
      <c r="E129" s="7">
        <f t="shared" si="117"/>
        <v>38.01</v>
      </c>
      <c r="F129" s="10">
        <f>1240000</f>
        <v>1240000</v>
      </c>
      <c r="G129" s="11">
        <f t="shared" si="11"/>
        <v>1.1200716845878136</v>
      </c>
      <c r="H129" s="7">
        <f t="shared" si="12"/>
        <v>143.36917562724014</v>
      </c>
      <c r="I129" s="12">
        <f t="shared" si="119"/>
        <v>1762.0071684587813</v>
      </c>
      <c r="J129" s="11">
        <f t="shared" si="120"/>
        <v>0.18279569892473116</v>
      </c>
      <c r="K129" s="11">
        <f t="shared" si="15"/>
        <v>6.7204301075268811</v>
      </c>
      <c r="L129" s="7">
        <f t="shared" si="16"/>
        <v>860.21505376344078</v>
      </c>
      <c r="M129" s="12">
        <f t="shared" si="121"/>
        <v>10572.043010752686</v>
      </c>
      <c r="N129" s="11">
        <f t="shared" si="122"/>
        <v>1.096774193548387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4" x14ac:dyDescent="0.15">
      <c r="A130" s="7" t="s">
        <v>20</v>
      </c>
      <c r="B130" s="7" t="s">
        <v>40</v>
      </c>
      <c r="C130" s="19">
        <v>128</v>
      </c>
      <c r="D130" s="19" t="s">
        <v>44</v>
      </c>
      <c r="E130" s="7">
        <f>12.83*3</f>
        <v>38.49</v>
      </c>
      <c r="F130" s="10">
        <f>20972.2</f>
        <v>20972.2</v>
      </c>
      <c r="G130" s="11">
        <f t="shared" si="11"/>
        <v>66.225235735349131</v>
      </c>
      <c r="H130" s="7">
        <f t="shared" si="12"/>
        <v>8476.8301741246887</v>
      </c>
      <c r="I130" s="12">
        <f t="shared" ref="I130:I132" si="123">H130*E13</f>
        <v>31131.158814472918</v>
      </c>
      <c r="J130" s="11">
        <f t="shared" ref="J130:J132" si="124">(H130*I13)/1000000</f>
        <v>6.8874245164763099</v>
      </c>
      <c r="K130" s="11">
        <f t="shared" si="15"/>
        <v>397.35141441209475</v>
      </c>
      <c r="L130" s="7">
        <f t="shared" si="16"/>
        <v>50860.981044748129</v>
      </c>
      <c r="M130" s="12">
        <f t="shared" ref="M130:M132" si="125">L130*E13</f>
        <v>186786.95288683751</v>
      </c>
      <c r="N130" s="11">
        <f t="shared" ref="N130:N132" si="126">(L130*I13)/1000000</f>
        <v>41.324547098857856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4" x14ac:dyDescent="0.15">
      <c r="A131" s="7" t="s">
        <v>20</v>
      </c>
      <c r="B131" s="7" t="s">
        <v>39</v>
      </c>
      <c r="C131" s="19">
        <v>128</v>
      </c>
      <c r="D131" s="19" t="s">
        <v>44</v>
      </c>
      <c r="E131" s="7">
        <f t="shared" ref="E131:E133" si="127">12.67*3</f>
        <v>38.01</v>
      </c>
      <c r="F131" s="10">
        <f t="shared" ref="F131:F132" si="128">730000</f>
        <v>730000</v>
      </c>
      <c r="G131" s="11">
        <f t="shared" si="11"/>
        <v>1.9025875190258752</v>
      </c>
      <c r="H131" s="7">
        <f t="shared" si="12"/>
        <v>243.53120243531203</v>
      </c>
      <c r="I131" s="12">
        <f t="shared" si="123"/>
        <v>828.00608828006091</v>
      </c>
      <c r="J131" s="11">
        <f t="shared" si="124"/>
        <v>0.19786910197869104</v>
      </c>
      <c r="K131" s="11">
        <f t="shared" si="15"/>
        <v>11.415525114155251</v>
      </c>
      <c r="L131" s="7">
        <f t="shared" si="16"/>
        <v>1461.1872146118722</v>
      </c>
      <c r="M131" s="12">
        <f t="shared" si="125"/>
        <v>4968.0365296803648</v>
      </c>
      <c r="N131" s="11">
        <f t="shared" si="126"/>
        <v>1.1872146118721461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4" x14ac:dyDescent="0.15">
      <c r="A132" s="7" t="s">
        <v>20</v>
      </c>
      <c r="B132" s="7" t="s">
        <v>40</v>
      </c>
      <c r="C132" s="19">
        <v>128</v>
      </c>
      <c r="D132" s="19" t="s">
        <v>44</v>
      </c>
      <c r="E132" s="7">
        <f t="shared" si="127"/>
        <v>38.01</v>
      </c>
      <c r="F132" s="10">
        <f t="shared" si="128"/>
        <v>730000</v>
      </c>
      <c r="G132" s="11">
        <f t="shared" si="11"/>
        <v>1.9025875190258752</v>
      </c>
      <c r="H132" s="7">
        <f t="shared" si="12"/>
        <v>243.53120243531203</v>
      </c>
      <c r="I132" s="12">
        <f t="shared" si="123"/>
        <v>997.56468797564696</v>
      </c>
      <c r="J132" s="11">
        <f t="shared" si="124"/>
        <v>0.19786910197869104</v>
      </c>
      <c r="K132" s="11">
        <f t="shared" si="15"/>
        <v>11.415525114155251</v>
      </c>
      <c r="L132" s="7">
        <f t="shared" si="16"/>
        <v>1461.1872146118722</v>
      </c>
      <c r="M132" s="12">
        <f t="shared" si="125"/>
        <v>5985.388127853882</v>
      </c>
      <c r="N132" s="11">
        <f t="shared" si="126"/>
        <v>1.1872146118721461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4" x14ac:dyDescent="0.15">
      <c r="A133" s="7" t="s">
        <v>23</v>
      </c>
      <c r="B133" s="7" t="s">
        <v>39</v>
      </c>
      <c r="C133" s="19">
        <v>128</v>
      </c>
      <c r="D133" s="19" t="s">
        <v>44</v>
      </c>
      <c r="E133" s="7">
        <f t="shared" si="127"/>
        <v>38.01</v>
      </c>
      <c r="F133" s="10">
        <f>140000</f>
        <v>140000</v>
      </c>
      <c r="G133" s="11">
        <f t="shared" si="11"/>
        <v>9.9206349206349209</v>
      </c>
      <c r="H133" s="7">
        <f t="shared" si="12"/>
        <v>1269.8412698412699</v>
      </c>
      <c r="I133" s="12">
        <f t="shared" ref="I133:I135" si="129">H133*E17</f>
        <v>4665.0793650793657</v>
      </c>
      <c r="J133" s="11">
        <f t="shared" ref="J133:J135" si="130">(H133*I17)/1000000</f>
        <v>1.0317460317460319</v>
      </c>
      <c r="K133" s="11">
        <f t="shared" si="15"/>
        <v>59.523809523809526</v>
      </c>
      <c r="L133" s="7">
        <f t="shared" si="16"/>
        <v>7619.0476190476193</v>
      </c>
      <c r="M133" s="12">
        <f t="shared" ref="M133:M135" si="131">L133*E17</f>
        <v>27990.476190476191</v>
      </c>
      <c r="N133" s="11">
        <f t="shared" ref="N133:N135" si="132">(L133*I17)/1000000</f>
        <v>6.1904761904761907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4" x14ac:dyDescent="0.15">
      <c r="A134" s="7" t="s">
        <v>23</v>
      </c>
      <c r="B134" s="7" t="s">
        <v>42</v>
      </c>
      <c r="C134" s="19">
        <v>128</v>
      </c>
      <c r="D134" s="19" t="s">
        <v>44</v>
      </c>
      <c r="E134" s="7">
        <f>12.59*3</f>
        <v>37.769999999999996</v>
      </c>
      <c r="F134" s="10">
        <f>76752.63</f>
        <v>76752.63</v>
      </c>
      <c r="G134" s="11">
        <f t="shared" si="11"/>
        <v>18.095652082396249</v>
      </c>
      <c r="H134" s="7">
        <f t="shared" si="12"/>
        <v>2316.2434665467199</v>
      </c>
      <c r="I134" s="12">
        <f t="shared" si="129"/>
        <v>8069.2131765821359</v>
      </c>
      <c r="J134" s="11">
        <f t="shared" si="130"/>
        <v>1.8819478165692101</v>
      </c>
      <c r="K134" s="11">
        <f t="shared" si="15"/>
        <v>108.57391249437748</v>
      </c>
      <c r="L134" s="7">
        <f t="shared" si="16"/>
        <v>13897.460799280318</v>
      </c>
      <c r="M134" s="12">
        <f t="shared" si="131"/>
        <v>48415.279059492808</v>
      </c>
      <c r="N134" s="11">
        <f t="shared" si="132"/>
        <v>11.291686899415259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4" x14ac:dyDescent="0.15">
      <c r="A135" s="7" t="s">
        <v>23</v>
      </c>
      <c r="B135" s="7" t="s">
        <v>40</v>
      </c>
      <c r="C135" s="19">
        <v>128</v>
      </c>
      <c r="D135" s="19" t="s">
        <v>44</v>
      </c>
      <c r="E135" s="7">
        <f>12.67*3</f>
        <v>38.01</v>
      </c>
      <c r="F135" s="10">
        <f>140000</f>
        <v>140000</v>
      </c>
      <c r="G135" s="11">
        <f t="shared" si="11"/>
        <v>9.9206349206349209</v>
      </c>
      <c r="H135" s="7">
        <f t="shared" si="12"/>
        <v>1269.8412698412699</v>
      </c>
      <c r="I135" s="12">
        <f t="shared" si="129"/>
        <v>7249.2063492063498</v>
      </c>
      <c r="J135" s="11">
        <f t="shared" si="130"/>
        <v>1.0317460317460319</v>
      </c>
      <c r="K135" s="11">
        <f t="shared" si="15"/>
        <v>59.523809523809526</v>
      </c>
      <c r="L135" s="7">
        <f t="shared" si="16"/>
        <v>7619.0476190476193</v>
      </c>
      <c r="M135" s="12">
        <f t="shared" si="131"/>
        <v>43495.238095238099</v>
      </c>
      <c r="N135" s="11">
        <f t="shared" si="132"/>
        <v>6.1904761904761907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" x14ac:dyDescent="0.1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" x14ac:dyDescent="0.1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" x14ac:dyDescent="0.1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" x14ac:dyDescent="0.1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" x14ac:dyDescent="0.1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" x14ac:dyDescent="0.1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" x14ac:dyDescent="0.1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" x14ac:dyDescent="0.1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" x14ac:dyDescent="0.1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" x14ac:dyDescent="0.1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" x14ac:dyDescent="0.1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" x14ac:dyDescent="0.1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" x14ac:dyDescent="0.1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3" x14ac:dyDescent="0.1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" x14ac:dyDescent="0.1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" x14ac:dyDescent="0.1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" x14ac:dyDescent="0.1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" x14ac:dyDescent="0.1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11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" x14ac:dyDescent="0.1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11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" x14ac:dyDescent="0.1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11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" x14ac:dyDescent="0.1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11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" x14ac:dyDescent="0.1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11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" x14ac:dyDescent="0.1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" x14ac:dyDescent="0.1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" x14ac:dyDescent="0.1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11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" x14ac:dyDescent="0.1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11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" x14ac:dyDescent="0.1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11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" x14ac:dyDescent="0.1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11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" x14ac:dyDescent="0.1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11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" x14ac:dyDescent="0.1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11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" x14ac:dyDescent="0.1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11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" x14ac:dyDescent="0.1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11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" x14ac:dyDescent="0.1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11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" x14ac:dyDescent="0.1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11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" x14ac:dyDescent="0.1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11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" x14ac:dyDescent="0.1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11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" x14ac:dyDescent="0.1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11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" x14ac:dyDescent="0.1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11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" x14ac:dyDescent="0.1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" x14ac:dyDescent="0.1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" x14ac:dyDescent="0.1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" x14ac:dyDescent="0.1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" x14ac:dyDescent="0.1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" x14ac:dyDescent="0.1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11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" x14ac:dyDescent="0.1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11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" x14ac:dyDescent="0.1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1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" x14ac:dyDescent="0.1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1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" x14ac:dyDescent="0.1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11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" x14ac:dyDescent="0.1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1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" x14ac:dyDescent="0.1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1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" x14ac:dyDescent="0.1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11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" x14ac:dyDescent="0.1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11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" x14ac:dyDescent="0.1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1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" x14ac:dyDescent="0.1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11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" x14ac:dyDescent="0.1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11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" x14ac:dyDescent="0.1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11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" x14ac:dyDescent="0.1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" x14ac:dyDescent="0.1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" x14ac:dyDescent="0.1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" x14ac:dyDescent="0.1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" x14ac:dyDescent="0.1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" x14ac:dyDescent="0.1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" x14ac:dyDescent="0.1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" x14ac:dyDescent="0.1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" x14ac:dyDescent="0.1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" x14ac:dyDescent="0.1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" x14ac:dyDescent="0.1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" x14ac:dyDescent="0.1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" x14ac:dyDescent="0.1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" x14ac:dyDescent="0.1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" x14ac:dyDescent="0.1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" x14ac:dyDescent="0.1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" x14ac:dyDescent="0.1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" x14ac:dyDescent="0.1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" x14ac:dyDescent="0.1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" x14ac:dyDescent="0.1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" x14ac:dyDescent="0.1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" x14ac:dyDescent="0.1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" x14ac:dyDescent="0.1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" x14ac:dyDescent="0.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" x14ac:dyDescent="0.1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" x14ac:dyDescent="0.1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" x14ac:dyDescent="0.1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" x14ac:dyDescent="0.1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" x14ac:dyDescent="0.1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" x14ac:dyDescent="0.1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" x14ac:dyDescent="0.1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" x14ac:dyDescent="0.1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" x14ac:dyDescent="0.1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" x14ac:dyDescent="0.1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" x14ac:dyDescent="0.1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" x14ac:dyDescent="0.1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" x14ac:dyDescent="0.1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" x14ac:dyDescent="0.1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" x14ac:dyDescent="0.1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</sheetData>
  <mergeCells count="2">
    <mergeCell ref="H21:K21"/>
    <mergeCell ref="L21:O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15"/>
  <sheetViews>
    <sheetView workbookViewId="0"/>
  </sheetViews>
  <sheetFormatPr baseColWidth="10" defaultColWidth="12.6640625" defaultRowHeight="15.75" customHeight="1" x14ac:dyDescent="0.15"/>
  <sheetData>
    <row r="1" spans="1:15" ht="15.75" customHeight="1" x14ac:dyDescent="0.15">
      <c r="A1" s="6" t="s">
        <v>24</v>
      </c>
      <c r="B1" s="7"/>
      <c r="C1" s="7"/>
      <c r="D1" s="7"/>
      <c r="E1" s="7"/>
      <c r="F1" s="7"/>
      <c r="G1" s="8"/>
      <c r="H1" s="24" t="s">
        <v>25</v>
      </c>
      <c r="I1" s="25"/>
      <c r="J1" s="25"/>
      <c r="K1" s="25"/>
      <c r="L1" s="24" t="s">
        <v>26</v>
      </c>
      <c r="M1" s="25"/>
      <c r="N1" s="25"/>
      <c r="O1" s="25"/>
    </row>
    <row r="2" spans="1:15" ht="15.75" customHeight="1" x14ac:dyDescent="0.15">
      <c r="A2" s="2" t="s">
        <v>27</v>
      </c>
      <c r="B2" s="2" t="s">
        <v>2</v>
      </c>
      <c r="C2" s="9" t="s">
        <v>45</v>
      </c>
      <c r="D2" s="2" t="s">
        <v>28</v>
      </c>
      <c r="E2" s="9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32</v>
      </c>
      <c r="M2" s="2" t="s">
        <v>33</v>
      </c>
      <c r="N2" s="2" t="s">
        <v>34</v>
      </c>
      <c r="O2" s="2" t="s">
        <v>35</v>
      </c>
    </row>
    <row r="3" spans="1:15" ht="15.75" customHeight="1" x14ac:dyDescent="0.15">
      <c r="A3" s="21" t="s">
        <v>14</v>
      </c>
      <c r="B3" s="21" t="s">
        <v>12</v>
      </c>
      <c r="C3" s="21">
        <v>7</v>
      </c>
      <c r="D3" s="21">
        <v>512</v>
      </c>
      <c r="E3" s="21" t="s">
        <v>46</v>
      </c>
      <c r="F3" s="21">
        <v>9.39</v>
      </c>
      <c r="G3" s="22">
        <v>670000</v>
      </c>
      <c r="H3" s="23">
        <v>2.0729684908789388</v>
      </c>
      <c r="I3" s="21">
        <v>1061.3598673300166</v>
      </c>
      <c r="J3" s="22">
        <v>4348.922056384743</v>
      </c>
      <c r="K3" s="23">
        <v>0.86235489220563855</v>
      </c>
      <c r="L3" s="23">
        <v>12.437810945273633</v>
      </c>
      <c r="M3" s="21">
        <v>6368.1592039800998</v>
      </c>
      <c r="N3" s="20">
        <v>26093.532338308461</v>
      </c>
      <c r="O3" s="23">
        <v>5.1741293532338313</v>
      </c>
    </row>
    <row r="4" spans="1:15" ht="15.75" customHeight="1" x14ac:dyDescent="0.15">
      <c r="A4" s="21" t="s">
        <v>14</v>
      </c>
      <c r="B4" s="21" t="s">
        <v>12</v>
      </c>
      <c r="C4" s="21">
        <v>8</v>
      </c>
      <c r="D4" s="21">
        <v>512</v>
      </c>
      <c r="E4" s="21" t="s">
        <v>46</v>
      </c>
      <c r="F4" s="21">
        <v>9.39</v>
      </c>
      <c r="G4" s="22">
        <v>670000</v>
      </c>
      <c r="H4" s="23">
        <v>2.0729684908789388</v>
      </c>
      <c r="I4" s="21">
        <v>1061.3598673300166</v>
      </c>
      <c r="J4" s="22">
        <v>5435.489220563848</v>
      </c>
      <c r="K4" s="23">
        <v>0.86235489220563855</v>
      </c>
      <c r="L4" s="23">
        <v>12.437810945273633</v>
      </c>
      <c r="M4" s="21">
        <v>6368.1592039800998</v>
      </c>
      <c r="N4" s="20">
        <v>32612.935323383084</v>
      </c>
      <c r="O4" s="23">
        <v>5.1741293532338313</v>
      </c>
    </row>
    <row r="5" spans="1:15" ht="15.75" customHeight="1" x14ac:dyDescent="0.15">
      <c r="A5" s="21" t="s">
        <v>20</v>
      </c>
      <c r="B5" s="21" t="s">
        <v>12</v>
      </c>
      <c r="C5" s="21">
        <v>12</v>
      </c>
      <c r="D5" s="21">
        <v>512</v>
      </c>
      <c r="E5" s="21" t="s">
        <v>46</v>
      </c>
      <c r="F5" s="21">
        <v>9.39</v>
      </c>
      <c r="G5" s="22">
        <v>25294.42</v>
      </c>
      <c r="H5" s="23">
        <v>54.908904370564301</v>
      </c>
      <c r="I5" s="21">
        <v>28113.359037728922</v>
      </c>
      <c r="J5" s="22">
        <v>103246.31106605947</v>
      </c>
      <c r="K5" s="23">
        <v>22.842104218154752</v>
      </c>
      <c r="L5" s="23">
        <v>329.4534262233858</v>
      </c>
      <c r="M5" s="21">
        <v>168680.15422637353</v>
      </c>
      <c r="N5" s="20">
        <v>619477.86639635672</v>
      </c>
      <c r="O5" s="23">
        <v>137.0526253089285</v>
      </c>
    </row>
    <row r="6" spans="1:15" ht="15.75" customHeight="1" x14ac:dyDescent="0.15">
      <c r="A6" s="21" t="s">
        <v>20</v>
      </c>
      <c r="B6" s="21" t="s">
        <v>12</v>
      </c>
      <c r="C6" s="21">
        <v>13</v>
      </c>
      <c r="D6" s="21">
        <v>512</v>
      </c>
      <c r="E6" s="21" t="s">
        <v>46</v>
      </c>
      <c r="F6" s="21">
        <v>9.39</v>
      </c>
      <c r="G6" s="22">
        <v>850000</v>
      </c>
      <c r="H6" s="23">
        <v>1.6339869281045751</v>
      </c>
      <c r="I6" s="21">
        <v>836.60130718954247</v>
      </c>
      <c r="J6" s="22">
        <v>2844.4444444444443</v>
      </c>
      <c r="K6" s="23">
        <v>0.6797385620915033</v>
      </c>
      <c r="L6" s="23">
        <v>9.8039215686274517</v>
      </c>
      <c r="M6" s="21">
        <v>5019.6078431372553</v>
      </c>
      <c r="N6" s="20">
        <v>17066.666666666668</v>
      </c>
      <c r="O6" s="23">
        <v>4.0784313725490193</v>
      </c>
    </row>
    <row r="7" spans="1:15" ht="15.75" customHeight="1" x14ac:dyDescent="0.15">
      <c r="A7" s="21" t="s">
        <v>20</v>
      </c>
      <c r="B7" s="21" t="s">
        <v>12</v>
      </c>
      <c r="C7" s="21">
        <v>14</v>
      </c>
      <c r="D7" s="21">
        <v>512</v>
      </c>
      <c r="E7" s="21" t="s">
        <v>46</v>
      </c>
      <c r="F7" s="21">
        <v>9.39</v>
      </c>
      <c r="G7" s="22">
        <v>850000</v>
      </c>
      <c r="H7" s="23">
        <v>1.6339869281045751</v>
      </c>
      <c r="I7" s="21">
        <v>836.60130718954247</v>
      </c>
      <c r="J7" s="22">
        <v>3426.9281045751636</v>
      </c>
      <c r="K7" s="23">
        <v>0.6797385620915033</v>
      </c>
      <c r="L7" s="23">
        <v>9.8039215686274517</v>
      </c>
      <c r="M7" s="21">
        <v>5019.6078431372553</v>
      </c>
      <c r="N7" s="20">
        <v>20561.568627450983</v>
      </c>
      <c r="O7" s="23">
        <v>4.0784313725490193</v>
      </c>
    </row>
    <row r="8" spans="1:15" ht="15.75" customHeight="1" x14ac:dyDescent="0.15">
      <c r="A8" s="21" t="s">
        <v>23</v>
      </c>
      <c r="B8" s="21" t="s">
        <v>12</v>
      </c>
      <c r="C8" s="21">
        <v>16</v>
      </c>
      <c r="D8" s="21">
        <v>512</v>
      </c>
      <c r="E8" s="21" t="s">
        <v>46</v>
      </c>
      <c r="F8" s="21">
        <v>9.39</v>
      </c>
      <c r="G8" s="22">
        <v>540000</v>
      </c>
      <c r="H8" s="23">
        <v>2.57201646090535</v>
      </c>
      <c r="I8" s="21">
        <v>1316.8724279835392</v>
      </c>
      <c r="J8" s="22">
        <v>4837.8600823045272</v>
      </c>
      <c r="K8" s="23">
        <v>1.0699588477366258</v>
      </c>
      <c r="L8" s="23">
        <v>15.432098765432098</v>
      </c>
      <c r="M8" s="21">
        <v>7901.2345679012342</v>
      </c>
      <c r="N8" s="20">
        <v>29027.160493827159</v>
      </c>
      <c r="O8" s="23">
        <v>6.4197530864197532</v>
      </c>
    </row>
    <row r="9" spans="1:15" ht="15.75" customHeight="1" x14ac:dyDescent="0.15">
      <c r="A9" s="21" t="s">
        <v>23</v>
      </c>
      <c r="B9" s="21" t="s">
        <v>12</v>
      </c>
      <c r="C9" s="21">
        <v>17</v>
      </c>
      <c r="D9" s="21">
        <v>512</v>
      </c>
      <c r="E9" s="21" t="s">
        <v>46</v>
      </c>
      <c r="F9" s="21">
        <v>9.39</v>
      </c>
      <c r="G9" s="22">
        <v>450000</v>
      </c>
      <c r="H9" s="23">
        <v>3.0864197530864197</v>
      </c>
      <c r="I9" s="21">
        <v>1580.2469135802469</v>
      </c>
      <c r="J9" s="22">
        <v>5505.1851851851852</v>
      </c>
      <c r="K9" s="23">
        <v>1.2839506172839505</v>
      </c>
      <c r="L9" s="23">
        <v>18.518518518518519</v>
      </c>
      <c r="M9" s="21">
        <v>9481.4814814814818</v>
      </c>
      <c r="N9" s="20">
        <v>33031.111111111117</v>
      </c>
      <c r="O9" s="23">
        <v>7.7037037037037042</v>
      </c>
    </row>
    <row r="10" spans="1:15" ht="15.75" customHeight="1" x14ac:dyDescent="0.15">
      <c r="A10" s="21" t="s">
        <v>23</v>
      </c>
      <c r="B10" s="21" t="s">
        <v>12</v>
      </c>
      <c r="C10" s="21">
        <v>18</v>
      </c>
      <c r="D10" s="21">
        <v>512</v>
      </c>
      <c r="E10" s="21" t="s">
        <v>46</v>
      </c>
      <c r="F10" s="21">
        <v>9.39</v>
      </c>
      <c r="G10" s="22">
        <v>540000</v>
      </c>
      <c r="H10" s="23">
        <v>2.57201646090535</v>
      </c>
      <c r="I10" s="21">
        <v>1316.8724279835392</v>
      </c>
      <c r="J10" s="22">
        <v>7517.6954732510294</v>
      </c>
      <c r="K10" s="23">
        <v>1.0699588477366258</v>
      </c>
      <c r="L10" s="23">
        <v>15.432098765432098</v>
      </c>
      <c r="M10" s="21">
        <v>7901.2345679012342</v>
      </c>
      <c r="N10" s="20">
        <v>45106.172839506173</v>
      </c>
      <c r="O10" s="23">
        <v>6.4197530864197532</v>
      </c>
    </row>
    <row r="11" spans="1:15" ht="15.75" customHeight="1" x14ac:dyDescent="0.15">
      <c r="A11" s="21" t="s">
        <v>14</v>
      </c>
      <c r="B11" s="21" t="s">
        <v>12</v>
      </c>
      <c r="C11" s="21">
        <v>8</v>
      </c>
      <c r="D11" s="21">
        <v>64</v>
      </c>
      <c r="E11" s="21" t="s">
        <v>46</v>
      </c>
      <c r="F11" s="21">
        <v>75.150000000000006</v>
      </c>
      <c r="G11" s="22">
        <v>130000</v>
      </c>
      <c r="H11" s="23">
        <v>10.683760683760683</v>
      </c>
      <c r="I11" s="21">
        <v>683.76068376068372</v>
      </c>
      <c r="J11" s="22">
        <v>3501.7094017094014</v>
      </c>
      <c r="K11" s="23">
        <v>0.55555555555555547</v>
      </c>
      <c r="L11" s="23">
        <v>64.102564102564102</v>
      </c>
      <c r="M11" s="21">
        <v>4102.5641025641025</v>
      </c>
      <c r="N11" s="20">
        <v>21010.25641025641</v>
      </c>
      <c r="O11" s="23">
        <v>3.3333333333333335</v>
      </c>
    </row>
    <row r="12" spans="1:15" ht="15.75" customHeight="1" x14ac:dyDescent="0.15">
      <c r="A12" s="21" t="s">
        <v>20</v>
      </c>
      <c r="B12" s="21" t="s">
        <v>12</v>
      </c>
      <c r="C12" s="21">
        <v>14</v>
      </c>
      <c r="D12" s="21">
        <v>64</v>
      </c>
      <c r="E12" s="21" t="s">
        <v>46</v>
      </c>
      <c r="F12" s="21">
        <v>75.150000000000006</v>
      </c>
      <c r="G12" s="22">
        <v>330000</v>
      </c>
      <c r="H12" s="23">
        <v>4.2087542087542085</v>
      </c>
      <c r="I12" s="21">
        <v>269.36026936026934</v>
      </c>
      <c r="J12" s="22">
        <v>1103.3670033670035</v>
      </c>
      <c r="K12" s="23">
        <v>0.21885521885521886</v>
      </c>
      <c r="L12" s="23">
        <v>25.252525252525253</v>
      </c>
      <c r="M12" s="21">
        <v>1616.1616161616162</v>
      </c>
      <c r="N12" s="20">
        <v>6620.2020202020212</v>
      </c>
      <c r="O12" s="23">
        <v>1.3131313131313131</v>
      </c>
    </row>
    <row r="13" spans="1:15" ht="15.75" customHeight="1" x14ac:dyDescent="0.15">
      <c r="A13" s="21" t="s">
        <v>23</v>
      </c>
      <c r="B13" s="21" t="s">
        <v>12</v>
      </c>
      <c r="C13" s="21">
        <v>18</v>
      </c>
      <c r="D13" s="21">
        <v>64</v>
      </c>
      <c r="E13" s="21" t="s">
        <v>46</v>
      </c>
      <c r="F13" s="21">
        <v>75.150000000000006</v>
      </c>
      <c r="G13" s="22">
        <v>39723.870000000003</v>
      </c>
      <c r="H13" s="23">
        <v>34.963584587526057</v>
      </c>
      <c r="I13" s="21">
        <v>2237.6694136016677</v>
      </c>
      <c r="J13" s="22">
        <v>12774.295264898521</v>
      </c>
      <c r="K13" s="23">
        <v>1.8181063985513548</v>
      </c>
      <c r="L13" s="23">
        <v>209.78150752515634</v>
      </c>
      <c r="M13" s="21">
        <v>13426.016481610006</v>
      </c>
      <c r="N13" s="20">
        <v>76645.771589391123</v>
      </c>
      <c r="O13" s="23">
        <v>10.908638391308131</v>
      </c>
    </row>
    <row r="14" spans="1:15" ht="15.75" customHeight="1" x14ac:dyDescent="0.15">
      <c r="A14" s="21" t="s">
        <v>20</v>
      </c>
      <c r="B14" s="21" t="s">
        <v>12</v>
      </c>
      <c r="C14" s="21">
        <v>12</v>
      </c>
      <c r="D14" s="21">
        <v>64</v>
      </c>
      <c r="E14" s="21" t="s">
        <v>46</v>
      </c>
      <c r="F14" s="21">
        <v>75.150000000000006</v>
      </c>
      <c r="G14" s="22">
        <v>18468.61</v>
      </c>
      <c r="H14" s="23">
        <v>75.202675723234648</v>
      </c>
      <c r="I14" s="21">
        <v>4812.9712462870175</v>
      </c>
      <c r="J14" s="22">
        <v>17675.63690198907</v>
      </c>
      <c r="K14" s="23">
        <v>3.9105391376082017</v>
      </c>
      <c r="L14" s="23">
        <v>451.21605433940795</v>
      </c>
      <c r="M14" s="21">
        <v>28877.827477722109</v>
      </c>
      <c r="N14" s="20">
        <v>106053.82141193443</v>
      </c>
      <c r="O14" s="23">
        <v>23.463234825649213</v>
      </c>
    </row>
    <row r="15" spans="1:15" ht="15.75" customHeight="1" x14ac:dyDescent="0.15">
      <c r="A15" s="21" t="s">
        <v>14</v>
      </c>
      <c r="B15" s="21" t="s">
        <v>12</v>
      </c>
      <c r="C15" s="21">
        <v>7</v>
      </c>
      <c r="D15" s="21">
        <v>256</v>
      </c>
      <c r="E15" s="21" t="s">
        <v>46</v>
      </c>
      <c r="F15" s="21">
        <v>18.78</v>
      </c>
      <c r="G15" s="22">
        <v>550000</v>
      </c>
      <c r="H15" s="23">
        <v>2.5252525252525251</v>
      </c>
      <c r="I15" s="21">
        <v>646.46464646464642</v>
      </c>
      <c r="J15" s="22">
        <v>2648.8888888888887</v>
      </c>
      <c r="K15" s="23">
        <v>0.52525252525252519</v>
      </c>
      <c r="L15" s="23">
        <v>15.15151515151515</v>
      </c>
      <c r="M15" s="21">
        <v>3878.7878787878785</v>
      </c>
      <c r="N15" s="20">
        <v>15893.333333333332</v>
      </c>
      <c r="O15" s="23">
        <v>3.1515151515151514</v>
      </c>
    </row>
    <row r="16" spans="1:15" ht="15.75" customHeight="1" x14ac:dyDescent="0.15">
      <c r="A16" s="21" t="s">
        <v>14</v>
      </c>
      <c r="B16" s="21" t="s">
        <v>12</v>
      </c>
      <c r="C16" s="21">
        <v>8</v>
      </c>
      <c r="D16" s="21">
        <v>256</v>
      </c>
      <c r="E16" s="21" t="s">
        <v>46</v>
      </c>
      <c r="F16" s="21">
        <v>18.78</v>
      </c>
      <c r="G16" s="22">
        <v>550000</v>
      </c>
      <c r="H16" s="23">
        <v>2.5252525252525251</v>
      </c>
      <c r="I16" s="21">
        <v>646.46464646464642</v>
      </c>
      <c r="J16" s="22">
        <v>3310.7070707070702</v>
      </c>
      <c r="K16" s="23">
        <v>0.52525252525252519</v>
      </c>
      <c r="L16" s="23">
        <v>15.15151515151515</v>
      </c>
      <c r="M16" s="21">
        <v>3878.7878787878785</v>
      </c>
      <c r="N16" s="20">
        <v>19864.242424242424</v>
      </c>
      <c r="O16" s="23">
        <v>3.1515151515151514</v>
      </c>
    </row>
    <row r="17" spans="1:15" ht="15.75" customHeight="1" x14ac:dyDescent="0.15">
      <c r="A17" s="21" t="s">
        <v>20</v>
      </c>
      <c r="B17" s="21" t="s">
        <v>12</v>
      </c>
      <c r="C17" s="21">
        <v>12</v>
      </c>
      <c r="D17" s="21">
        <v>256</v>
      </c>
      <c r="E17" s="21" t="s">
        <v>46</v>
      </c>
      <c r="F17" s="21">
        <v>18.78</v>
      </c>
      <c r="G17" s="22">
        <v>24840.25</v>
      </c>
      <c r="H17" s="23">
        <v>55.912838594172314</v>
      </c>
      <c r="I17" s="21">
        <v>14313.686680108112</v>
      </c>
      <c r="J17" s="22">
        <v>52567.014332697043</v>
      </c>
      <c r="K17" s="23">
        <v>11.629870427587841</v>
      </c>
      <c r="L17" s="23">
        <v>335.47703156503388</v>
      </c>
      <c r="M17" s="21">
        <v>85882.120080648674</v>
      </c>
      <c r="N17" s="20">
        <v>315402.08599618223</v>
      </c>
      <c r="O17" s="23">
        <v>69.77922256552705</v>
      </c>
    </row>
    <row r="18" spans="1:15" ht="15.75" customHeight="1" x14ac:dyDescent="0.15">
      <c r="A18" s="21" t="s">
        <v>20</v>
      </c>
      <c r="B18" s="21" t="s">
        <v>12</v>
      </c>
      <c r="C18" s="21">
        <v>13</v>
      </c>
      <c r="D18" s="21">
        <v>256</v>
      </c>
      <c r="E18" s="21" t="s">
        <v>46</v>
      </c>
      <c r="F18" s="21">
        <v>18.78</v>
      </c>
      <c r="G18" s="22">
        <v>770000</v>
      </c>
      <c r="H18" s="23">
        <v>1.8037518037518039</v>
      </c>
      <c r="I18" s="21">
        <v>461.76046176046179</v>
      </c>
      <c r="J18" s="22">
        <v>1569.98556998557</v>
      </c>
      <c r="K18" s="23">
        <v>0.37518037518037517</v>
      </c>
      <c r="L18" s="23">
        <v>10.822510822510823</v>
      </c>
      <c r="M18" s="21">
        <v>2770.5627705627708</v>
      </c>
      <c r="N18" s="20">
        <v>9419.9134199134205</v>
      </c>
      <c r="O18" s="23">
        <v>2.2510822510822512</v>
      </c>
    </row>
    <row r="19" spans="1:15" ht="15.75" customHeight="1" x14ac:dyDescent="0.15">
      <c r="A19" s="21" t="s">
        <v>20</v>
      </c>
      <c r="B19" s="21" t="s">
        <v>12</v>
      </c>
      <c r="C19" s="21">
        <v>14</v>
      </c>
      <c r="D19" s="21">
        <v>256</v>
      </c>
      <c r="E19" s="21" t="s">
        <v>46</v>
      </c>
      <c r="F19" s="21">
        <v>18.78</v>
      </c>
      <c r="G19" s="22">
        <v>770000</v>
      </c>
      <c r="H19" s="23">
        <v>1.8037518037518039</v>
      </c>
      <c r="I19" s="21">
        <v>461.76046176046179</v>
      </c>
      <c r="J19" s="22">
        <v>1891.4862914862917</v>
      </c>
      <c r="K19" s="23">
        <v>0.37518037518037517</v>
      </c>
      <c r="L19" s="23">
        <v>10.822510822510823</v>
      </c>
      <c r="M19" s="21">
        <v>2770.5627705627708</v>
      </c>
      <c r="N19" s="20">
        <v>11348.917748917751</v>
      </c>
      <c r="O19" s="23">
        <v>2.2510822510822512</v>
      </c>
    </row>
    <row r="20" spans="1:15" ht="15.75" customHeight="1" x14ac:dyDescent="0.15">
      <c r="A20" s="21" t="s">
        <v>23</v>
      </c>
      <c r="B20" s="21" t="s">
        <v>12</v>
      </c>
      <c r="C20" s="21">
        <v>16</v>
      </c>
      <c r="D20" s="21">
        <v>256</v>
      </c>
      <c r="E20" s="21" t="s">
        <v>46</v>
      </c>
      <c r="F20" s="21">
        <v>18.78</v>
      </c>
      <c r="G20" s="22">
        <v>330000</v>
      </c>
      <c r="H20" s="23">
        <v>4.2087542087542085</v>
      </c>
      <c r="I20" s="21">
        <v>1077.4410774410774</v>
      </c>
      <c r="J20" s="22">
        <v>3958.249158249158</v>
      </c>
      <c r="K20" s="23">
        <v>0.87542087542087543</v>
      </c>
      <c r="L20" s="23">
        <v>25.252525252525253</v>
      </c>
      <c r="M20" s="21">
        <v>6464.6464646464647</v>
      </c>
      <c r="N20" s="20">
        <v>23749.494949494951</v>
      </c>
      <c r="O20" s="23">
        <v>5.2525252525252526</v>
      </c>
    </row>
    <row r="21" spans="1:15" ht="15.75" customHeight="1" x14ac:dyDescent="0.15">
      <c r="A21" s="21" t="s">
        <v>23</v>
      </c>
      <c r="B21" s="21" t="s">
        <v>12</v>
      </c>
      <c r="C21" s="21">
        <v>17</v>
      </c>
      <c r="D21" s="21">
        <v>256</v>
      </c>
      <c r="E21" s="21" t="s">
        <v>46</v>
      </c>
      <c r="F21" s="21">
        <v>18.78</v>
      </c>
      <c r="G21" s="22">
        <v>220000</v>
      </c>
      <c r="H21" s="23">
        <v>6.3131313131313131</v>
      </c>
      <c r="I21" s="21">
        <v>1616.1616161616162</v>
      </c>
      <c r="J21" s="22">
        <v>5630.3030303030309</v>
      </c>
      <c r="K21" s="23">
        <v>1.3131313131313131</v>
      </c>
      <c r="L21" s="23">
        <v>37.878787878787875</v>
      </c>
      <c r="M21" s="21">
        <v>9696.9696969696961</v>
      </c>
      <c r="N21" s="20">
        <v>33781.818181818177</v>
      </c>
      <c r="O21" s="23">
        <v>7.878787878787878</v>
      </c>
    </row>
    <row r="22" spans="1:15" ht="15.75" customHeight="1" x14ac:dyDescent="0.15">
      <c r="A22" s="21" t="s">
        <v>23</v>
      </c>
      <c r="B22" s="21" t="s">
        <v>12</v>
      </c>
      <c r="C22" s="21">
        <v>18</v>
      </c>
      <c r="D22" s="21">
        <v>256</v>
      </c>
      <c r="E22" s="21" t="s">
        <v>46</v>
      </c>
      <c r="F22" s="21">
        <v>18.78</v>
      </c>
      <c r="G22" s="22">
        <v>330000</v>
      </c>
      <c r="H22" s="23">
        <v>4.2087542087542085</v>
      </c>
      <c r="I22" s="21">
        <v>1077.4410774410774</v>
      </c>
      <c r="J22" s="22">
        <v>6150.8417508417506</v>
      </c>
      <c r="K22" s="23">
        <v>0.87542087542087543</v>
      </c>
      <c r="L22" s="23">
        <v>25.252525252525253</v>
      </c>
      <c r="M22" s="21">
        <v>6464.6464646464647</v>
      </c>
      <c r="N22" s="20">
        <v>36905.050505050509</v>
      </c>
      <c r="O22" s="23">
        <v>5.2525252525252526</v>
      </c>
    </row>
    <row r="23" spans="1:15" ht="15.75" customHeight="1" x14ac:dyDescent="0.15">
      <c r="A23" s="21" t="s">
        <v>14</v>
      </c>
      <c r="B23" s="21" t="s">
        <v>12</v>
      </c>
      <c r="C23" s="21">
        <v>7</v>
      </c>
      <c r="D23" s="21">
        <v>128</v>
      </c>
      <c r="E23" s="21" t="s">
        <v>46</v>
      </c>
      <c r="F23" s="21">
        <v>37.56</v>
      </c>
      <c r="G23" s="22">
        <v>330000</v>
      </c>
      <c r="H23" s="23">
        <v>4.2087542087542085</v>
      </c>
      <c r="I23" s="21">
        <v>538.72053872053868</v>
      </c>
      <c r="J23" s="22">
        <v>2207.4074074074074</v>
      </c>
      <c r="K23" s="23">
        <v>0.43771043771043772</v>
      </c>
      <c r="L23" s="23">
        <v>25.252525252525253</v>
      </c>
      <c r="M23" s="21">
        <v>3232.3232323232323</v>
      </c>
      <c r="N23" s="20">
        <v>13244.444444444445</v>
      </c>
      <c r="O23" s="23">
        <v>2.6262626262626263</v>
      </c>
    </row>
    <row r="24" spans="1:15" ht="15.75" customHeight="1" x14ac:dyDescent="0.15">
      <c r="A24" s="21" t="s">
        <v>14</v>
      </c>
      <c r="B24" s="21" t="s">
        <v>12</v>
      </c>
      <c r="C24" s="21">
        <v>8</v>
      </c>
      <c r="D24" s="21">
        <v>128</v>
      </c>
      <c r="E24" s="21" t="s">
        <v>46</v>
      </c>
      <c r="F24" s="21">
        <v>37.56</v>
      </c>
      <c r="G24" s="22">
        <v>330000</v>
      </c>
      <c r="H24" s="23">
        <v>4.2087542087542085</v>
      </c>
      <c r="I24" s="21">
        <v>538.72053872053868</v>
      </c>
      <c r="J24" s="22">
        <v>2758.9225589225584</v>
      </c>
      <c r="K24" s="23">
        <v>0.43771043771043772</v>
      </c>
      <c r="L24" s="23">
        <v>25.252525252525253</v>
      </c>
      <c r="M24" s="21">
        <v>3232.3232323232323</v>
      </c>
      <c r="N24" s="20">
        <v>16553.535353535353</v>
      </c>
      <c r="O24" s="23">
        <v>2.6262626262626263</v>
      </c>
    </row>
    <row r="25" spans="1:15" ht="15.75" customHeight="1" x14ac:dyDescent="0.15">
      <c r="A25" s="21" t="s">
        <v>20</v>
      </c>
      <c r="B25" s="21" t="s">
        <v>12</v>
      </c>
      <c r="C25" s="21">
        <v>12</v>
      </c>
      <c r="D25" s="21">
        <v>128</v>
      </c>
      <c r="E25" s="21" t="s">
        <v>46</v>
      </c>
      <c r="F25" s="21">
        <v>37.56</v>
      </c>
      <c r="G25" s="22">
        <v>23219.39</v>
      </c>
      <c r="H25" s="23">
        <v>59.815907691325613</v>
      </c>
      <c r="I25" s="21">
        <v>7656.4361844896785</v>
      </c>
      <c r="J25" s="22">
        <v>28118.261887538341</v>
      </c>
      <c r="K25" s="23">
        <v>6.2208543998978643</v>
      </c>
      <c r="L25" s="23">
        <v>358.89544614795363</v>
      </c>
      <c r="M25" s="21">
        <v>45938.617106938065</v>
      </c>
      <c r="N25" s="20">
        <v>168709.57132523003</v>
      </c>
      <c r="O25" s="23">
        <v>37.32512639938718</v>
      </c>
    </row>
    <row r="26" spans="1:15" ht="15.75" customHeight="1" x14ac:dyDescent="0.15">
      <c r="A26" s="21" t="s">
        <v>20</v>
      </c>
      <c r="B26" s="21" t="s">
        <v>12</v>
      </c>
      <c r="C26" s="21">
        <v>13</v>
      </c>
      <c r="D26" s="21">
        <v>128</v>
      </c>
      <c r="E26" s="21" t="s">
        <v>46</v>
      </c>
      <c r="F26" s="21">
        <v>37.56</v>
      </c>
      <c r="G26" s="22">
        <v>590000</v>
      </c>
      <c r="H26" s="23">
        <v>2.3540489642184559</v>
      </c>
      <c r="I26" s="21">
        <v>301.31826741996235</v>
      </c>
      <c r="J26" s="22">
        <v>1024.4821092278719</v>
      </c>
      <c r="K26" s="23">
        <v>0.24482109227871943</v>
      </c>
      <c r="L26" s="23">
        <v>14.124293785310735</v>
      </c>
      <c r="M26" s="21">
        <v>1807.9096045197741</v>
      </c>
      <c r="N26" s="20">
        <v>6146.8926553672318</v>
      </c>
      <c r="O26" s="23">
        <v>1.4689265536723164</v>
      </c>
    </row>
    <row r="27" spans="1:15" ht="15.75" customHeight="1" x14ac:dyDescent="0.15">
      <c r="A27" s="21" t="s">
        <v>20</v>
      </c>
      <c r="B27" s="21" t="s">
        <v>12</v>
      </c>
      <c r="C27" s="21">
        <v>14</v>
      </c>
      <c r="D27" s="21">
        <v>128</v>
      </c>
      <c r="E27" s="21" t="s">
        <v>46</v>
      </c>
      <c r="F27" s="21">
        <v>37.56</v>
      </c>
      <c r="G27" s="22">
        <v>590000</v>
      </c>
      <c r="H27" s="23">
        <v>2.3540489642184559</v>
      </c>
      <c r="I27" s="21">
        <v>301.31826741996235</v>
      </c>
      <c r="J27" s="22">
        <v>1234.274952919021</v>
      </c>
      <c r="K27" s="23">
        <v>0.24482109227871943</v>
      </c>
      <c r="L27" s="23">
        <v>14.124293785310735</v>
      </c>
      <c r="M27" s="21">
        <v>1807.9096045197741</v>
      </c>
      <c r="N27" s="20">
        <v>7405.6497175141258</v>
      </c>
      <c r="O27" s="23">
        <v>1.4689265536723164</v>
      </c>
    </row>
    <row r="28" spans="1:15" ht="15.75" customHeight="1" x14ac:dyDescent="0.15">
      <c r="A28" s="21" t="s">
        <v>23</v>
      </c>
      <c r="B28" s="21" t="s">
        <v>12</v>
      </c>
      <c r="C28" s="21">
        <v>16</v>
      </c>
      <c r="D28" s="21">
        <v>128</v>
      </c>
      <c r="E28" s="21" t="s">
        <v>46</v>
      </c>
      <c r="F28" s="21">
        <v>37.56</v>
      </c>
      <c r="G28" s="22">
        <v>130000</v>
      </c>
      <c r="H28" s="23">
        <v>10.683760683760683</v>
      </c>
      <c r="I28" s="21">
        <v>1367.5213675213674</v>
      </c>
      <c r="J28" s="22">
        <v>5023.931623931624</v>
      </c>
      <c r="K28" s="23">
        <v>1.1111111111111109</v>
      </c>
      <c r="L28" s="23">
        <v>64.102564102564102</v>
      </c>
      <c r="M28" s="21">
        <v>8205.1282051282051</v>
      </c>
      <c r="N28" s="20">
        <v>30143.589743589742</v>
      </c>
      <c r="O28" s="23">
        <v>6.666666666666667</v>
      </c>
    </row>
    <row r="29" spans="1:15" ht="15.75" customHeight="1" x14ac:dyDescent="0.15">
      <c r="A29" s="21" t="s">
        <v>23</v>
      </c>
      <c r="B29" s="21" t="s">
        <v>12</v>
      </c>
      <c r="C29" s="21">
        <v>17</v>
      </c>
      <c r="D29" s="21">
        <v>128</v>
      </c>
      <c r="E29" s="21" t="s">
        <v>46</v>
      </c>
      <c r="F29" s="21">
        <v>37.56</v>
      </c>
      <c r="G29" s="22">
        <v>75115.28</v>
      </c>
      <c r="H29" s="23">
        <v>18.490098005211308</v>
      </c>
      <c r="I29" s="21">
        <v>2366.7325446670475</v>
      </c>
      <c r="J29" s="22">
        <v>8245.1045024838277</v>
      </c>
      <c r="K29" s="23">
        <v>1.922970192541976</v>
      </c>
      <c r="L29" s="23">
        <v>110.94058803126785</v>
      </c>
      <c r="M29" s="21">
        <v>14200.395268002285</v>
      </c>
      <c r="N29" s="20">
        <v>49470.627014902959</v>
      </c>
      <c r="O29" s="23">
        <v>11.537821155251857</v>
      </c>
    </row>
    <row r="30" spans="1:15" ht="15.75" customHeight="1" x14ac:dyDescent="0.15">
      <c r="A30" s="21" t="s">
        <v>23</v>
      </c>
      <c r="B30" s="21" t="s">
        <v>12</v>
      </c>
      <c r="C30" s="21">
        <v>18</v>
      </c>
      <c r="D30" s="21">
        <v>128</v>
      </c>
      <c r="E30" s="21" t="s">
        <v>46</v>
      </c>
      <c r="F30" s="21">
        <v>37.56</v>
      </c>
      <c r="G30" s="22">
        <v>130000</v>
      </c>
      <c r="H30" s="23">
        <v>10.683760683760683</v>
      </c>
      <c r="I30" s="21">
        <v>1367.5213675213674</v>
      </c>
      <c r="J30" s="22">
        <v>7806.8376068376065</v>
      </c>
      <c r="K30" s="23">
        <v>1.1111111111111109</v>
      </c>
      <c r="L30" s="23">
        <v>64.102564102564102</v>
      </c>
      <c r="M30" s="21">
        <v>8205.1282051282051</v>
      </c>
      <c r="N30" s="20">
        <v>46841.025641025641</v>
      </c>
      <c r="O30" s="23">
        <v>6.666666666666667</v>
      </c>
    </row>
    <row r="31" spans="1:15" ht="15.75" customHeight="1" x14ac:dyDescent="0.15">
      <c r="A31" s="21" t="s">
        <v>14</v>
      </c>
      <c r="B31" s="21" t="s">
        <v>12</v>
      </c>
      <c r="C31" s="21">
        <v>7</v>
      </c>
      <c r="D31" s="21">
        <v>512</v>
      </c>
      <c r="E31" s="21" t="s">
        <v>43</v>
      </c>
      <c r="F31" s="21">
        <v>13.200000000000001</v>
      </c>
      <c r="G31" s="22">
        <v>980000</v>
      </c>
      <c r="H31" s="23">
        <v>1.4172335600907031</v>
      </c>
      <c r="I31" s="21">
        <v>725.62358276643999</v>
      </c>
      <c r="J31" s="22">
        <v>2973.2426303854882</v>
      </c>
      <c r="K31" s="23">
        <v>0.58956916099773249</v>
      </c>
      <c r="L31" s="23">
        <v>8.5034013605442169</v>
      </c>
      <c r="M31" s="21">
        <v>4353.7414965986391</v>
      </c>
      <c r="N31" s="20">
        <v>17839.455782312925</v>
      </c>
      <c r="O31" s="23">
        <v>3.5374149659863945</v>
      </c>
    </row>
    <row r="32" spans="1:15" ht="15.75" customHeight="1" x14ac:dyDescent="0.15">
      <c r="A32" s="21" t="s">
        <v>14</v>
      </c>
      <c r="B32" s="21" t="s">
        <v>12</v>
      </c>
      <c r="C32" s="21">
        <v>8</v>
      </c>
      <c r="D32" s="21">
        <v>512</v>
      </c>
      <c r="E32" s="21" t="s">
        <v>43</v>
      </c>
      <c r="F32" s="21">
        <v>13.200000000000001</v>
      </c>
      <c r="G32" s="22">
        <v>980000</v>
      </c>
      <c r="H32" s="23">
        <v>1.4172335600907031</v>
      </c>
      <c r="I32" s="21">
        <v>725.62358276643999</v>
      </c>
      <c r="J32" s="22">
        <v>3716.0997732426308</v>
      </c>
      <c r="K32" s="23">
        <v>0.58956916099773249</v>
      </c>
      <c r="L32" s="23">
        <v>8.5034013605442169</v>
      </c>
      <c r="M32" s="21">
        <v>4353.7414965986391</v>
      </c>
      <c r="N32" s="20">
        <v>22296.59863945578</v>
      </c>
      <c r="O32" s="23">
        <v>3.5374149659863945</v>
      </c>
    </row>
    <row r="33" spans="1:15" ht="15.75" customHeight="1" x14ac:dyDescent="0.15">
      <c r="A33" s="21" t="s">
        <v>20</v>
      </c>
      <c r="B33" s="21" t="s">
        <v>12</v>
      </c>
      <c r="C33" s="21">
        <v>12</v>
      </c>
      <c r="D33" s="21">
        <v>512</v>
      </c>
      <c r="E33" s="21" t="s">
        <v>43</v>
      </c>
      <c r="F33" s="21">
        <v>13.200000000000001</v>
      </c>
      <c r="G33" s="22">
        <v>37836.97</v>
      </c>
      <c r="H33" s="23">
        <v>36.707191111996785</v>
      </c>
      <c r="I33" s="21">
        <v>18794.081849342354</v>
      </c>
      <c r="J33" s="22">
        <v>69021.265591709787</v>
      </c>
      <c r="K33" s="23">
        <v>15.270191502590661</v>
      </c>
      <c r="L33" s="23">
        <v>220.2431466719807</v>
      </c>
      <c r="M33" s="21">
        <v>112764.49109605412</v>
      </c>
      <c r="N33" s="20">
        <v>414127.59355025872</v>
      </c>
      <c r="O33" s="23">
        <v>91.621149015543963</v>
      </c>
    </row>
    <row r="34" spans="1:15" ht="15.75" customHeight="1" x14ac:dyDescent="0.15">
      <c r="A34" s="21" t="s">
        <v>20</v>
      </c>
      <c r="B34" s="21" t="s">
        <v>12</v>
      </c>
      <c r="C34" s="21">
        <v>13</v>
      </c>
      <c r="D34" s="21">
        <v>512</v>
      </c>
      <c r="E34" s="21" t="s">
        <v>43</v>
      </c>
      <c r="F34" s="21">
        <v>13.200000000000001</v>
      </c>
      <c r="G34" s="22">
        <v>1270000</v>
      </c>
      <c r="H34" s="23">
        <v>1.0936132983377078</v>
      </c>
      <c r="I34" s="21">
        <v>559.9300087489064</v>
      </c>
      <c r="J34" s="22">
        <v>1903.7620297462818</v>
      </c>
      <c r="K34" s="23">
        <v>0.45494313210848641</v>
      </c>
      <c r="L34" s="23">
        <v>6.561679790026246</v>
      </c>
      <c r="M34" s="21">
        <v>3359.580052493438</v>
      </c>
      <c r="N34" s="20">
        <v>11422.572178477689</v>
      </c>
      <c r="O34" s="23">
        <v>2.7296587926509184</v>
      </c>
    </row>
    <row r="35" spans="1:15" ht="15.75" customHeight="1" x14ac:dyDescent="0.15">
      <c r="A35" s="21" t="s">
        <v>20</v>
      </c>
      <c r="B35" s="21" t="s">
        <v>12</v>
      </c>
      <c r="C35" s="21">
        <v>14</v>
      </c>
      <c r="D35" s="21">
        <v>512</v>
      </c>
      <c r="E35" s="21" t="s">
        <v>43</v>
      </c>
      <c r="F35" s="21">
        <v>13.200000000000001</v>
      </c>
      <c r="G35" s="22">
        <v>1270000</v>
      </c>
      <c r="H35" s="23">
        <v>1.0936132983377078</v>
      </c>
      <c r="I35" s="21">
        <v>559.9300087489064</v>
      </c>
      <c r="J35" s="22">
        <v>2293.6132983377079</v>
      </c>
      <c r="K35" s="23">
        <v>0.45494313210848641</v>
      </c>
      <c r="L35" s="23">
        <v>6.561679790026246</v>
      </c>
      <c r="M35" s="21">
        <v>3359.580052493438</v>
      </c>
      <c r="N35" s="20">
        <v>13761.679790026246</v>
      </c>
      <c r="O35" s="23">
        <v>2.7296587926509184</v>
      </c>
    </row>
    <row r="36" spans="1:15" ht="15.75" customHeight="1" x14ac:dyDescent="0.15">
      <c r="A36" s="21" t="s">
        <v>23</v>
      </c>
      <c r="B36" s="21" t="s">
        <v>12</v>
      </c>
      <c r="C36" s="21">
        <v>16</v>
      </c>
      <c r="D36" s="21">
        <v>512</v>
      </c>
      <c r="E36" s="21" t="s">
        <v>43</v>
      </c>
      <c r="F36" s="21">
        <v>13.200000000000001</v>
      </c>
      <c r="G36" s="22">
        <v>740000</v>
      </c>
      <c r="H36" s="23">
        <v>1.8768768768768769</v>
      </c>
      <c r="I36" s="21">
        <v>960.96096096096096</v>
      </c>
      <c r="J36" s="22">
        <v>3530.3303303303305</v>
      </c>
      <c r="K36" s="23">
        <v>0.78078078078078084</v>
      </c>
      <c r="L36" s="23">
        <v>11.261261261261261</v>
      </c>
      <c r="M36" s="21">
        <v>5765.7657657657655</v>
      </c>
      <c r="N36" s="20">
        <v>21181.981981981982</v>
      </c>
      <c r="O36" s="23">
        <v>4.6846846846846848</v>
      </c>
    </row>
    <row r="37" spans="1:15" ht="15.75" customHeight="1" x14ac:dyDescent="0.15">
      <c r="A37" s="21" t="s">
        <v>23</v>
      </c>
      <c r="B37" s="21" t="s">
        <v>12</v>
      </c>
      <c r="C37" s="21">
        <v>17</v>
      </c>
      <c r="D37" s="21">
        <v>512</v>
      </c>
      <c r="E37" s="21" t="s">
        <v>43</v>
      </c>
      <c r="F37" s="21">
        <v>13.200000000000001</v>
      </c>
      <c r="G37" s="22">
        <v>580000</v>
      </c>
      <c r="H37" s="23">
        <v>2.3946360153256703</v>
      </c>
      <c r="I37" s="21">
        <v>1226.0536398467432</v>
      </c>
      <c r="J37" s="22">
        <v>4271.2643678160921</v>
      </c>
      <c r="K37" s="23">
        <v>0.99616858237547878</v>
      </c>
      <c r="L37" s="23">
        <v>14.367816091954024</v>
      </c>
      <c r="M37" s="21">
        <v>7356.3218390804604</v>
      </c>
      <c r="N37" s="20">
        <v>25627.586206896554</v>
      </c>
      <c r="O37" s="23">
        <v>5.9770114942528743</v>
      </c>
    </row>
    <row r="38" spans="1:15" ht="15.75" customHeight="1" x14ac:dyDescent="0.15">
      <c r="A38" s="21" t="s">
        <v>23</v>
      </c>
      <c r="B38" s="21" t="s">
        <v>12</v>
      </c>
      <c r="C38" s="21">
        <v>18</v>
      </c>
      <c r="D38" s="21">
        <v>512</v>
      </c>
      <c r="E38" s="21" t="s">
        <v>43</v>
      </c>
      <c r="F38" s="21">
        <v>13.200000000000001</v>
      </c>
      <c r="G38" s="22">
        <v>740000</v>
      </c>
      <c r="H38" s="23">
        <v>1.8768768768768769</v>
      </c>
      <c r="I38" s="21">
        <v>960.96096096096096</v>
      </c>
      <c r="J38" s="22">
        <v>5485.8858858858857</v>
      </c>
      <c r="K38" s="23">
        <v>0.78078078078078084</v>
      </c>
      <c r="L38" s="23">
        <v>11.261261261261261</v>
      </c>
      <c r="M38" s="21">
        <v>5765.7657657657655</v>
      </c>
      <c r="N38" s="20">
        <v>32915.315315315318</v>
      </c>
      <c r="O38" s="23">
        <v>4.6846846846846848</v>
      </c>
    </row>
    <row r="39" spans="1:15" ht="15.75" customHeight="1" x14ac:dyDescent="0.15">
      <c r="A39" s="21" t="s">
        <v>14</v>
      </c>
      <c r="B39" s="21" t="s">
        <v>12</v>
      </c>
      <c r="C39" s="21">
        <v>8</v>
      </c>
      <c r="D39" s="21">
        <v>64</v>
      </c>
      <c r="E39" s="21" t="s">
        <v>43</v>
      </c>
      <c r="F39" s="21">
        <v>78.900000000000006</v>
      </c>
      <c r="G39" s="22">
        <v>140000</v>
      </c>
      <c r="H39" s="23">
        <v>9.9206349206349209</v>
      </c>
      <c r="I39" s="21">
        <v>634.92063492063494</v>
      </c>
      <c r="J39" s="22">
        <v>3251.5873015873017</v>
      </c>
      <c r="K39" s="23">
        <v>0.51587301587301593</v>
      </c>
      <c r="L39" s="23">
        <v>59.523809523809526</v>
      </c>
      <c r="M39" s="21">
        <v>3809.5238095238096</v>
      </c>
      <c r="N39" s="20">
        <v>19509.523809523809</v>
      </c>
      <c r="O39" s="23">
        <v>3.0952380952380953</v>
      </c>
    </row>
    <row r="40" spans="1:15" ht="15.75" customHeight="1" x14ac:dyDescent="0.15">
      <c r="A40" s="21" t="s">
        <v>20</v>
      </c>
      <c r="B40" s="21" t="s">
        <v>12</v>
      </c>
      <c r="C40" s="21">
        <v>14</v>
      </c>
      <c r="D40" s="21">
        <v>64</v>
      </c>
      <c r="E40" s="21" t="s">
        <v>43</v>
      </c>
      <c r="F40" s="21">
        <v>78.900000000000006</v>
      </c>
      <c r="G40" s="22">
        <v>420000</v>
      </c>
      <c r="H40" s="23">
        <v>3.306878306878307</v>
      </c>
      <c r="I40" s="21">
        <v>211.64021164021165</v>
      </c>
      <c r="J40" s="22">
        <v>866.93121693121702</v>
      </c>
      <c r="K40" s="23">
        <v>0.17195767195767198</v>
      </c>
      <c r="L40" s="23">
        <v>19.841269841269842</v>
      </c>
      <c r="M40" s="21">
        <v>1269.8412698412699</v>
      </c>
      <c r="N40" s="20">
        <v>5201.5873015873021</v>
      </c>
      <c r="O40" s="23">
        <v>1.0317460317460319</v>
      </c>
    </row>
    <row r="41" spans="1:15" ht="15.75" customHeight="1" x14ac:dyDescent="0.15">
      <c r="A41" s="21" t="s">
        <v>23</v>
      </c>
      <c r="B41" s="21" t="s">
        <v>12</v>
      </c>
      <c r="C41" s="21">
        <v>18</v>
      </c>
      <c r="D41" s="21">
        <v>64</v>
      </c>
      <c r="E41" s="21" t="s">
        <v>43</v>
      </c>
      <c r="F41" s="21">
        <v>78.900000000000006</v>
      </c>
      <c r="G41" s="22">
        <v>40907.5</v>
      </c>
      <c r="H41" s="23">
        <v>33.951937637080945</v>
      </c>
      <c r="I41" s="21">
        <v>2172.9240087731805</v>
      </c>
      <c r="J41" s="22">
        <v>12404.679935083896</v>
      </c>
      <c r="K41" s="23">
        <v>1.7655007571282091</v>
      </c>
      <c r="L41" s="23">
        <v>203.7116258224857</v>
      </c>
      <c r="M41" s="21">
        <v>13037.544052639085</v>
      </c>
      <c r="N41" s="20">
        <v>74428.079610503381</v>
      </c>
      <c r="O41" s="23">
        <v>10.593004542769258</v>
      </c>
    </row>
    <row r="42" spans="1:15" ht="15.75" customHeight="1" x14ac:dyDescent="0.15">
      <c r="A42" s="21" t="s">
        <v>20</v>
      </c>
      <c r="B42" s="21" t="s">
        <v>12</v>
      </c>
      <c r="C42" s="21">
        <v>12</v>
      </c>
      <c r="D42" s="21">
        <v>64</v>
      </c>
      <c r="E42" s="21" t="s">
        <v>43</v>
      </c>
      <c r="F42" s="21">
        <v>78.900000000000006</v>
      </c>
      <c r="G42" s="22">
        <v>24434.54</v>
      </c>
      <c r="H42" s="23">
        <v>56.841212844149673</v>
      </c>
      <c r="I42" s="21">
        <v>3637.8376220255791</v>
      </c>
      <c r="J42" s="22">
        <v>13359.958666888939</v>
      </c>
      <c r="K42" s="23">
        <v>2.9557430678957832</v>
      </c>
      <c r="L42" s="23">
        <v>341.04727706489803</v>
      </c>
      <c r="M42" s="21">
        <v>21827.025732153474</v>
      </c>
      <c r="N42" s="20">
        <v>80159.752001333633</v>
      </c>
      <c r="O42" s="23">
        <v>17.734458407374699</v>
      </c>
    </row>
    <row r="43" spans="1:15" ht="15.75" customHeight="1" x14ac:dyDescent="0.15">
      <c r="A43" s="21" t="s">
        <v>14</v>
      </c>
      <c r="B43" s="21" t="s">
        <v>12</v>
      </c>
      <c r="C43" s="21">
        <v>7</v>
      </c>
      <c r="D43" s="21">
        <v>256</v>
      </c>
      <c r="E43" s="21" t="s">
        <v>43</v>
      </c>
      <c r="F43" s="21">
        <v>22.59</v>
      </c>
      <c r="G43" s="22">
        <v>760000</v>
      </c>
      <c r="H43" s="23">
        <v>1.827485380116959</v>
      </c>
      <c r="I43" s="21">
        <v>467.83625730994152</v>
      </c>
      <c r="J43" s="22">
        <v>1916.9590643274855</v>
      </c>
      <c r="K43" s="23">
        <v>0.38011695906432746</v>
      </c>
      <c r="L43" s="23">
        <v>10.964912280701753</v>
      </c>
      <c r="M43" s="21">
        <v>2807.0175438596489</v>
      </c>
      <c r="N43" s="20">
        <v>11501.754385964912</v>
      </c>
      <c r="O43" s="23">
        <v>2.2807017543859645</v>
      </c>
    </row>
    <row r="44" spans="1:15" ht="15.75" customHeight="1" x14ac:dyDescent="0.15">
      <c r="A44" s="21" t="s">
        <v>14</v>
      </c>
      <c r="B44" s="21" t="s">
        <v>12</v>
      </c>
      <c r="C44" s="21">
        <v>8</v>
      </c>
      <c r="D44" s="21">
        <v>256</v>
      </c>
      <c r="E44" s="21" t="s">
        <v>43</v>
      </c>
      <c r="F44" s="21">
        <v>22.59</v>
      </c>
      <c r="G44" s="22">
        <v>760000</v>
      </c>
      <c r="H44" s="23">
        <v>1.827485380116959</v>
      </c>
      <c r="I44" s="21">
        <v>467.83625730994152</v>
      </c>
      <c r="J44" s="22">
        <v>2395.906432748538</v>
      </c>
      <c r="K44" s="23">
        <v>0.38011695906432746</v>
      </c>
      <c r="L44" s="23">
        <v>10.964912280701753</v>
      </c>
      <c r="M44" s="21">
        <v>2807.0175438596489</v>
      </c>
      <c r="N44" s="20">
        <v>14375.438596491227</v>
      </c>
      <c r="O44" s="23">
        <v>2.2807017543859645</v>
      </c>
    </row>
    <row r="45" spans="1:15" ht="15.75" customHeight="1" x14ac:dyDescent="0.15">
      <c r="A45" s="21" t="s">
        <v>20</v>
      </c>
      <c r="B45" s="21" t="s">
        <v>12</v>
      </c>
      <c r="C45" s="21">
        <v>12</v>
      </c>
      <c r="D45" s="21">
        <v>256</v>
      </c>
      <c r="E45" s="21" t="s">
        <v>43</v>
      </c>
      <c r="F45" s="21">
        <v>22.59</v>
      </c>
      <c r="G45" s="22">
        <v>36851.980000000003</v>
      </c>
      <c r="H45" s="23">
        <v>37.688311154214475</v>
      </c>
      <c r="I45" s="21">
        <v>9648.2076554789055</v>
      </c>
      <c r="J45" s="22">
        <v>35433.042614746279</v>
      </c>
      <c r="K45" s="23">
        <v>7.8391687200766107</v>
      </c>
      <c r="L45" s="23">
        <v>226.12986692528688</v>
      </c>
      <c r="M45" s="21">
        <v>57889.24593287344</v>
      </c>
      <c r="N45" s="20">
        <v>212598.25568847772</v>
      </c>
      <c r="O45" s="23">
        <v>47.035012320459671</v>
      </c>
    </row>
    <row r="46" spans="1:15" ht="15.75" customHeight="1" x14ac:dyDescent="0.15">
      <c r="A46" s="21" t="s">
        <v>20</v>
      </c>
      <c r="B46" s="21" t="s">
        <v>12</v>
      </c>
      <c r="C46" s="21">
        <v>13</v>
      </c>
      <c r="D46" s="21">
        <v>256</v>
      </c>
      <c r="E46" s="21" t="s">
        <v>43</v>
      </c>
      <c r="F46" s="21">
        <v>22.59</v>
      </c>
      <c r="G46" s="22">
        <v>1140000</v>
      </c>
      <c r="H46" s="23">
        <v>1.2183235867446394</v>
      </c>
      <c r="I46" s="21">
        <v>311.89083820662768</v>
      </c>
      <c r="J46" s="22">
        <v>1060.428849902534</v>
      </c>
      <c r="K46" s="23">
        <v>0.25341130604288498</v>
      </c>
      <c r="L46" s="23">
        <v>7.3099415204678362</v>
      </c>
      <c r="M46" s="21">
        <v>1871.3450292397661</v>
      </c>
      <c r="N46" s="20">
        <v>6362.5730994152045</v>
      </c>
      <c r="O46" s="23">
        <v>1.5204678362573099</v>
      </c>
    </row>
    <row r="47" spans="1:15" ht="15.75" customHeight="1" x14ac:dyDescent="0.15">
      <c r="A47" s="21" t="s">
        <v>20</v>
      </c>
      <c r="B47" s="21" t="s">
        <v>12</v>
      </c>
      <c r="C47" s="21">
        <v>14</v>
      </c>
      <c r="D47" s="21">
        <v>256</v>
      </c>
      <c r="E47" s="21" t="s">
        <v>43</v>
      </c>
      <c r="F47" s="21">
        <v>22.59</v>
      </c>
      <c r="G47" s="22">
        <v>1140000</v>
      </c>
      <c r="H47" s="23">
        <v>1.2183235867446394</v>
      </c>
      <c r="I47" s="21">
        <v>311.89083820662768</v>
      </c>
      <c r="J47" s="22">
        <v>1277.5828460038988</v>
      </c>
      <c r="K47" s="23">
        <v>0.25341130604288498</v>
      </c>
      <c r="L47" s="23">
        <v>7.3099415204678362</v>
      </c>
      <c r="M47" s="21">
        <v>1871.3450292397661</v>
      </c>
      <c r="N47" s="20">
        <v>7665.4970760233928</v>
      </c>
      <c r="O47" s="23">
        <v>1.5204678362573099</v>
      </c>
    </row>
    <row r="48" spans="1:15" ht="15.75" customHeight="1" x14ac:dyDescent="0.15">
      <c r="A48" s="21" t="s">
        <v>23</v>
      </c>
      <c r="B48" s="21" t="s">
        <v>12</v>
      </c>
      <c r="C48" s="21">
        <v>16</v>
      </c>
      <c r="D48" s="21">
        <v>256</v>
      </c>
      <c r="E48" s="21" t="s">
        <v>43</v>
      </c>
      <c r="F48" s="21">
        <v>22.59</v>
      </c>
      <c r="G48" s="22">
        <v>410000</v>
      </c>
      <c r="H48" s="23">
        <v>3.3875338753387538</v>
      </c>
      <c r="I48" s="21">
        <v>867.20867208672098</v>
      </c>
      <c r="J48" s="22">
        <v>3185.9078590785912</v>
      </c>
      <c r="K48" s="23">
        <v>0.70460704607046076</v>
      </c>
      <c r="L48" s="23">
        <v>20.325203252032519</v>
      </c>
      <c r="M48" s="21">
        <v>5203.252032520325</v>
      </c>
      <c r="N48" s="20">
        <v>19115.447154471545</v>
      </c>
      <c r="O48" s="23">
        <v>4.2276422764227641</v>
      </c>
    </row>
    <row r="49" spans="1:15" ht="15.75" customHeight="1" x14ac:dyDescent="0.15">
      <c r="A49" s="21" t="s">
        <v>23</v>
      </c>
      <c r="B49" s="21" t="s">
        <v>12</v>
      </c>
      <c r="C49" s="21">
        <v>17</v>
      </c>
      <c r="D49" s="21">
        <v>256</v>
      </c>
      <c r="E49" s="21" t="s">
        <v>43</v>
      </c>
      <c r="F49" s="21">
        <v>22.59</v>
      </c>
      <c r="G49" s="22">
        <v>250000</v>
      </c>
      <c r="H49" s="23">
        <v>5.5555555555555554</v>
      </c>
      <c r="I49" s="21">
        <v>1422.2222222222222</v>
      </c>
      <c r="J49" s="22">
        <v>4954.666666666667</v>
      </c>
      <c r="K49" s="23">
        <v>1.1555555555555554</v>
      </c>
      <c r="L49" s="23">
        <v>33.333333333333336</v>
      </c>
      <c r="M49" s="21">
        <v>8533.3333333333339</v>
      </c>
      <c r="N49" s="20">
        <v>29728.000000000004</v>
      </c>
      <c r="O49" s="23">
        <v>6.9333333333333336</v>
      </c>
    </row>
    <row r="50" spans="1:15" ht="15.75" customHeight="1" x14ac:dyDescent="0.15">
      <c r="A50" s="21" t="s">
        <v>23</v>
      </c>
      <c r="B50" s="21" t="s">
        <v>12</v>
      </c>
      <c r="C50" s="21">
        <v>18</v>
      </c>
      <c r="D50" s="21">
        <v>256</v>
      </c>
      <c r="E50" s="21" t="s">
        <v>43</v>
      </c>
      <c r="F50" s="21">
        <v>22.59</v>
      </c>
      <c r="G50" s="22">
        <v>410000</v>
      </c>
      <c r="H50" s="23">
        <v>3.3875338753387538</v>
      </c>
      <c r="I50" s="21">
        <v>867.20867208672098</v>
      </c>
      <c r="J50" s="22">
        <v>4950.6775067750687</v>
      </c>
      <c r="K50" s="23">
        <v>0.70460704607046076</v>
      </c>
      <c r="L50" s="23">
        <v>20.325203252032519</v>
      </c>
      <c r="M50" s="21">
        <v>5203.252032520325</v>
      </c>
      <c r="N50" s="20">
        <v>29704.065040650406</v>
      </c>
      <c r="O50" s="23">
        <v>4.2276422764227641</v>
      </c>
    </row>
    <row r="51" spans="1:15" ht="15.75" customHeight="1" x14ac:dyDescent="0.15">
      <c r="A51" s="21" t="s">
        <v>14</v>
      </c>
      <c r="B51" s="21" t="s">
        <v>12</v>
      </c>
      <c r="C51" s="21">
        <v>8</v>
      </c>
      <c r="D51" s="21">
        <v>128</v>
      </c>
      <c r="E51" s="21" t="s">
        <v>43</v>
      </c>
      <c r="F51" s="21">
        <v>41.37</v>
      </c>
      <c r="G51" s="22">
        <v>410000</v>
      </c>
      <c r="H51" s="23">
        <v>3.3875338753387538</v>
      </c>
      <c r="I51" s="21">
        <v>433.60433604336049</v>
      </c>
      <c r="J51" s="22">
        <v>2220.5962059620597</v>
      </c>
      <c r="K51" s="23">
        <v>0.35230352303523038</v>
      </c>
      <c r="L51" s="23">
        <v>20.325203252032519</v>
      </c>
      <c r="M51" s="21">
        <v>2601.6260162601625</v>
      </c>
      <c r="N51" s="20">
        <v>13323.577235772356</v>
      </c>
      <c r="O51" s="23">
        <v>2.1138211382113821</v>
      </c>
    </row>
    <row r="52" spans="1:15" ht="15.75" customHeight="1" x14ac:dyDescent="0.15">
      <c r="A52" s="21" t="s">
        <v>20</v>
      </c>
      <c r="B52" s="21" t="s">
        <v>12</v>
      </c>
      <c r="C52" s="21">
        <v>12</v>
      </c>
      <c r="D52" s="21">
        <v>128</v>
      </c>
      <c r="E52" s="21" t="s">
        <v>43</v>
      </c>
      <c r="F52" s="21">
        <v>41.37</v>
      </c>
      <c r="G52" s="22">
        <v>33430.370000000003</v>
      </c>
      <c r="H52" s="23">
        <v>41.545722912695517</v>
      </c>
      <c r="I52" s="21">
        <v>5317.8525328250262</v>
      </c>
      <c r="J52" s="22">
        <v>19529.813426799908</v>
      </c>
      <c r="K52" s="23">
        <v>4.3207551829203341</v>
      </c>
      <c r="L52" s="23">
        <v>249.27433747617309</v>
      </c>
      <c r="M52" s="21">
        <v>31907.115196950155</v>
      </c>
      <c r="N52" s="20">
        <v>117178.88056079944</v>
      </c>
      <c r="O52" s="23">
        <v>25.924531097522003</v>
      </c>
    </row>
    <row r="53" spans="1:15" ht="15.75" customHeight="1" x14ac:dyDescent="0.15">
      <c r="A53" s="21" t="s">
        <v>20</v>
      </c>
      <c r="B53" s="21" t="s">
        <v>12</v>
      </c>
      <c r="C53" s="21">
        <v>14</v>
      </c>
      <c r="D53" s="21">
        <v>128</v>
      </c>
      <c r="E53" s="21" t="s">
        <v>43</v>
      </c>
      <c r="F53" s="21">
        <v>41.37</v>
      </c>
      <c r="G53" s="22">
        <v>830000</v>
      </c>
      <c r="H53" s="23">
        <v>1.6733601070950468</v>
      </c>
      <c r="I53" s="21">
        <v>214.19009370816599</v>
      </c>
      <c r="J53" s="22">
        <v>877.37617135207506</v>
      </c>
      <c r="K53" s="23">
        <v>0.17402945113788487</v>
      </c>
      <c r="L53" s="23">
        <v>10.040160642570282</v>
      </c>
      <c r="M53" s="21">
        <v>1285.140562248996</v>
      </c>
      <c r="N53" s="20">
        <v>5264.2570281124508</v>
      </c>
      <c r="O53" s="23">
        <v>1.0441767068273093</v>
      </c>
    </row>
    <row r="54" spans="1:15" ht="15.75" customHeight="1" x14ac:dyDescent="0.15">
      <c r="A54" s="21" t="s">
        <v>23</v>
      </c>
      <c r="B54" s="21" t="s">
        <v>12</v>
      </c>
      <c r="C54" s="21">
        <v>18</v>
      </c>
      <c r="D54" s="21">
        <v>128</v>
      </c>
      <c r="E54" s="21" t="s">
        <v>43</v>
      </c>
      <c r="F54" s="21">
        <v>41.37</v>
      </c>
      <c r="G54" s="22">
        <v>150000</v>
      </c>
      <c r="H54" s="23">
        <v>9.2592592592592595</v>
      </c>
      <c r="I54" s="21">
        <v>1185.1851851851852</v>
      </c>
      <c r="J54" s="22">
        <v>6765.9259259259261</v>
      </c>
      <c r="K54" s="23">
        <v>0.96296296296296302</v>
      </c>
      <c r="L54" s="23">
        <v>55.555555555555557</v>
      </c>
      <c r="M54" s="21">
        <v>7111.1111111111113</v>
      </c>
      <c r="N54" s="20">
        <v>40595.555555555555</v>
      </c>
      <c r="O54" s="23">
        <v>5.7777777777777777</v>
      </c>
    </row>
    <row r="55" spans="1:15" ht="15.75" customHeight="1" x14ac:dyDescent="0.15">
      <c r="A55" s="21" t="s">
        <v>14</v>
      </c>
      <c r="B55" s="21" t="s">
        <v>12</v>
      </c>
      <c r="C55" s="21">
        <v>7</v>
      </c>
      <c r="D55" s="21">
        <v>512</v>
      </c>
      <c r="E55" s="21" t="s">
        <v>44</v>
      </c>
      <c r="F55" s="21">
        <v>9.870000000000001</v>
      </c>
      <c r="G55" s="22">
        <v>940000</v>
      </c>
      <c r="H55" s="23">
        <v>1.4775413711583922</v>
      </c>
      <c r="I55" s="21">
        <v>756.50118203309682</v>
      </c>
      <c r="J55" s="22">
        <v>3099.7635933806146</v>
      </c>
      <c r="K55" s="23">
        <v>0.61465721040189114</v>
      </c>
      <c r="L55" s="23">
        <v>8.8652482269503547</v>
      </c>
      <c r="M55" s="21">
        <v>4539.0070921985816</v>
      </c>
      <c r="N55" s="20">
        <v>18598.581560283688</v>
      </c>
      <c r="O55" s="23">
        <v>3.6879432624113475</v>
      </c>
    </row>
    <row r="56" spans="1:15" ht="13" x14ac:dyDescent="0.15">
      <c r="A56" s="21" t="s">
        <v>14</v>
      </c>
      <c r="B56" s="21" t="s">
        <v>12</v>
      </c>
      <c r="C56" s="21">
        <v>8</v>
      </c>
      <c r="D56" s="21">
        <v>512</v>
      </c>
      <c r="E56" s="21" t="s">
        <v>44</v>
      </c>
      <c r="F56" s="21">
        <v>9.870000000000001</v>
      </c>
      <c r="G56" s="22">
        <v>940000</v>
      </c>
      <c r="H56" s="23">
        <v>1.4775413711583922</v>
      </c>
      <c r="I56" s="21">
        <v>756.50118203309682</v>
      </c>
      <c r="J56" s="22">
        <v>3874.2316784869972</v>
      </c>
      <c r="K56" s="23">
        <v>0.61465721040189114</v>
      </c>
      <c r="L56" s="23">
        <v>8.8652482269503547</v>
      </c>
      <c r="M56" s="21">
        <v>4539.0070921985816</v>
      </c>
      <c r="N56" s="20">
        <v>23245.390070921985</v>
      </c>
      <c r="O56" s="23">
        <v>3.6879432624113475</v>
      </c>
    </row>
    <row r="57" spans="1:15" ht="13" x14ac:dyDescent="0.15">
      <c r="A57" s="21" t="s">
        <v>20</v>
      </c>
      <c r="B57" s="21" t="s">
        <v>12</v>
      </c>
      <c r="C57" s="21">
        <v>12</v>
      </c>
      <c r="D57" s="21">
        <v>512</v>
      </c>
      <c r="E57" s="21" t="s">
        <v>44</v>
      </c>
      <c r="F57" s="21">
        <v>10.350000000000001</v>
      </c>
      <c r="G57" s="22">
        <v>32392.35</v>
      </c>
      <c r="H57" s="23">
        <v>42.87706476649236</v>
      </c>
      <c r="I57" s="21">
        <v>21953.057160444088</v>
      </c>
      <c r="J57" s="22">
        <v>80622.602421730917</v>
      </c>
      <c r="K57" s="23">
        <v>17.836858942860822</v>
      </c>
      <c r="L57" s="23">
        <v>257.2623885989542</v>
      </c>
      <c r="M57" s="21">
        <v>131718.34296266455</v>
      </c>
      <c r="N57" s="20">
        <v>483735.61453038553</v>
      </c>
      <c r="O57" s="23">
        <v>107.02115365716494</v>
      </c>
    </row>
    <row r="58" spans="1:15" ht="13" x14ac:dyDescent="0.15">
      <c r="A58" s="21" t="s">
        <v>20</v>
      </c>
      <c r="B58" s="21" t="s">
        <v>12</v>
      </c>
      <c r="C58" s="21">
        <v>13</v>
      </c>
      <c r="D58" s="21">
        <v>512</v>
      </c>
      <c r="E58" s="21" t="s">
        <v>44</v>
      </c>
      <c r="F58" s="21">
        <v>9.870000000000001</v>
      </c>
      <c r="G58" s="22">
        <v>1210000</v>
      </c>
      <c r="H58" s="23">
        <v>1.1478420569329659</v>
      </c>
      <c r="I58" s="21">
        <v>587.69513314967855</v>
      </c>
      <c r="J58" s="22">
        <v>1998.163452708907</v>
      </c>
      <c r="K58" s="23">
        <v>0.47750229568411379</v>
      </c>
      <c r="L58" s="23">
        <v>6.887052341597796</v>
      </c>
      <c r="M58" s="21">
        <v>3526.1707988980716</v>
      </c>
      <c r="N58" s="20">
        <v>11988.980716253443</v>
      </c>
      <c r="O58" s="23">
        <v>2.8650137741046833</v>
      </c>
    </row>
    <row r="59" spans="1:15" ht="13" x14ac:dyDescent="0.15">
      <c r="A59" s="21" t="s">
        <v>20</v>
      </c>
      <c r="B59" s="21" t="s">
        <v>12</v>
      </c>
      <c r="C59" s="21">
        <v>14</v>
      </c>
      <c r="D59" s="21">
        <v>512</v>
      </c>
      <c r="E59" s="21" t="s">
        <v>44</v>
      </c>
      <c r="F59" s="21">
        <v>9.870000000000001</v>
      </c>
      <c r="G59" s="22">
        <v>1210000</v>
      </c>
      <c r="H59" s="23">
        <v>1.1478420569329659</v>
      </c>
      <c r="I59" s="21">
        <v>587.69513314967855</v>
      </c>
      <c r="J59" s="22">
        <v>2407.346189164371</v>
      </c>
      <c r="K59" s="23">
        <v>0.47750229568411379</v>
      </c>
      <c r="L59" s="23">
        <v>6.887052341597796</v>
      </c>
      <c r="M59" s="21">
        <v>3526.1707988980716</v>
      </c>
      <c r="N59" s="20">
        <v>14444.077134986226</v>
      </c>
      <c r="O59" s="23">
        <v>2.8650137741046833</v>
      </c>
    </row>
    <row r="60" spans="1:15" ht="13" x14ac:dyDescent="0.15">
      <c r="A60" s="21" t="s">
        <v>23</v>
      </c>
      <c r="B60" s="21" t="s">
        <v>12</v>
      </c>
      <c r="C60" s="21">
        <v>16</v>
      </c>
      <c r="D60" s="21">
        <v>512</v>
      </c>
      <c r="E60" s="21" t="s">
        <v>44</v>
      </c>
      <c r="F60" s="21">
        <v>9.870000000000001</v>
      </c>
      <c r="G60" s="22">
        <v>720000</v>
      </c>
      <c r="H60" s="23">
        <v>1.9290123456790123</v>
      </c>
      <c r="I60" s="21">
        <v>987.65432098765427</v>
      </c>
      <c r="J60" s="22">
        <v>3628.3950617283949</v>
      </c>
      <c r="K60" s="23">
        <v>0.80246913580246915</v>
      </c>
      <c r="L60" s="23">
        <v>11.574074074074073</v>
      </c>
      <c r="M60" s="21">
        <v>5925.9259259259252</v>
      </c>
      <c r="N60" s="20">
        <v>21770.370370370369</v>
      </c>
      <c r="O60" s="23">
        <v>4.814814814814814</v>
      </c>
    </row>
    <row r="61" spans="1:15" ht="13" x14ac:dyDescent="0.15">
      <c r="A61" s="21" t="s">
        <v>23</v>
      </c>
      <c r="B61" s="21" t="s">
        <v>12</v>
      </c>
      <c r="C61" s="21">
        <v>17</v>
      </c>
      <c r="D61" s="21">
        <v>512</v>
      </c>
      <c r="E61" s="21" t="s">
        <v>44</v>
      </c>
      <c r="F61" s="21">
        <v>9.629999999999999</v>
      </c>
      <c r="G61" s="22">
        <v>550000</v>
      </c>
      <c r="H61" s="23">
        <v>2.5252525252525251</v>
      </c>
      <c r="I61" s="21">
        <v>1292.9292929292928</v>
      </c>
      <c r="J61" s="22">
        <v>4504.242424242424</v>
      </c>
      <c r="K61" s="23">
        <v>1.0505050505050504</v>
      </c>
      <c r="L61" s="23">
        <v>15.15151515151515</v>
      </c>
      <c r="M61" s="21">
        <v>7757.5757575757571</v>
      </c>
      <c r="N61" s="20">
        <v>27025.454545454544</v>
      </c>
      <c r="O61" s="23">
        <v>6.3030303030303028</v>
      </c>
    </row>
    <row r="62" spans="1:15" ht="13" x14ac:dyDescent="0.15">
      <c r="A62" s="21" t="s">
        <v>23</v>
      </c>
      <c r="B62" s="21" t="s">
        <v>12</v>
      </c>
      <c r="C62" s="21">
        <v>18</v>
      </c>
      <c r="D62" s="21">
        <v>512</v>
      </c>
      <c r="E62" s="21" t="s">
        <v>44</v>
      </c>
      <c r="F62" s="21">
        <v>9.870000000000001</v>
      </c>
      <c r="G62" s="22">
        <v>720000</v>
      </c>
      <c r="H62" s="23">
        <v>1.9290123456790123</v>
      </c>
      <c r="I62" s="21">
        <v>987.65432098765427</v>
      </c>
      <c r="J62" s="22">
        <v>5638.2716049382716</v>
      </c>
      <c r="K62" s="23">
        <v>0.80246913580246915</v>
      </c>
      <c r="L62" s="23">
        <v>11.574074074074073</v>
      </c>
      <c r="M62" s="21">
        <v>5925.9259259259252</v>
      </c>
      <c r="N62" s="20">
        <v>33829.629629629628</v>
      </c>
      <c r="O62" s="23">
        <v>4.814814814814814</v>
      </c>
    </row>
    <row r="63" spans="1:15" ht="13" x14ac:dyDescent="0.15">
      <c r="A63" s="21" t="s">
        <v>14</v>
      </c>
      <c r="B63" s="21" t="s">
        <v>12</v>
      </c>
      <c r="C63" s="21">
        <v>8</v>
      </c>
      <c r="D63" s="21">
        <v>64</v>
      </c>
      <c r="E63" s="21" t="s">
        <v>44</v>
      </c>
      <c r="F63" s="21">
        <v>75.570000000000007</v>
      </c>
      <c r="G63" s="22">
        <v>140000</v>
      </c>
      <c r="H63" s="23">
        <v>9.9206349206349209</v>
      </c>
      <c r="I63" s="21">
        <v>634.92063492063494</v>
      </c>
      <c r="J63" s="22">
        <v>3251.5873015873017</v>
      </c>
      <c r="K63" s="23">
        <v>0.51587301587301593</v>
      </c>
      <c r="L63" s="23">
        <v>59.523809523809526</v>
      </c>
      <c r="M63" s="21">
        <v>3809.5238095238096</v>
      </c>
      <c r="N63" s="20">
        <v>19509.523809523809</v>
      </c>
      <c r="O63" s="23">
        <v>3.0952380952380953</v>
      </c>
    </row>
    <row r="64" spans="1:15" ht="13" x14ac:dyDescent="0.15">
      <c r="A64" s="21" t="s">
        <v>20</v>
      </c>
      <c r="B64" s="21" t="s">
        <v>12</v>
      </c>
      <c r="C64" s="21">
        <v>14</v>
      </c>
      <c r="D64" s="21">
        <v>64</v>
      </c>
      <c r="E64" s="21" t="s">
        <v>44</v>
      </c>
      <c r="F64" s="21">
        <v>75.570000000000007</v>
      </c>
      <c r="G64" s="22">
        <v>360000</v>
      </c>
      <c r="H64" s="23">
        <v>3.8580246913580245</v>
      </c>
      <c r="I64" s="21">
        <v>246.91358024691357</v>
      </c>
      <c r="J64" s="22">
        <v>1011.4197530864197</v>
      </c>
      <c r="K64" s="23">
        <v>0.20061728395061729</v>
      </c>
      <c r="L64" s="23">
        <v>23.148148148148145</v>
      </c>
      <c r="M64" s="21">
        <v>1481.4814814814813</v>
      </c>
      <c r="N64" s="20">
        <v>6068.5185185185182</v>
      </c>
      <c r="O64" s="23">
        <v>1.2037037037037035</v>
      </c>
    </row>
    <row r="65" spans="1:15" ht="13" x14ac:dyDescent="0.15">
      <c r="A65" s="21" t="s">
        <v>23</v>
      </c>
      <c r="B65" s="21" t="s">
        <v>12</v>
      </c>
      <c r="C65" s="21">
        <v>18</v>
      </c>
      <c r="D65" s="21">
        <v>64</v>
      </c>
      <c r="E65" s="21" t="s">
        <v>44</v>
      </c>
      <c r="F65" s="21">
        <v>75.570000000000007</v>
      </c>
      <c r="G65" s="22">
        <v>40359.18</v>
      </c>
      <c r="H65" s="23">
        <v>34.41320881367978</v>
      </c>
      <c r="I65" s="21">
        <v>2202.4453640755059</v>
      </c>
      <c r="J65" s="22">
        <v>12573.209972166045</v>
      </c>
      <c r="K65" s="23">
        <v>1.7894868583113486</v>
      </c>
      <c r="L65" s="23">
        <v>206.4792528820787</v>
      </c>
      <c r="M65" s="21">
        <v>13214.672184453037</v>
      </c>
      <c r="N65" s="20">
        <v>75439.259832996278</v>
      </c>
      <c r="O65" s="23">
        <v>10.736921149868092</v>
      </c>
    </row>
    <row r="66" spans="1:15" ht="13" x14ac:dyDescent="0.15">
      <c r="A66" s="21" t="s">
        <v>20</v>
      </c>
      <c r="B66" s="21" t="s">
        <v>12</v>
      </c>
      <c r="C66" s="21">
        <v>12</v>
      </c>
      <c r="D66" s="21">
        <v>64</v>
      </c>
      <c r="E66" s="21" t="s">
        <v>44</v>
      </c>
      <c r="F66" s="21">
        <v>75.570000000000007</v>
      </c>
      <c r="G66" s="22">
        <v>13078.02</v>
      </c>
      <c r="H66" s="23">
        <v>106.20024200061545</v>
      </c>
      <c r="I66" s="21">
        <v>6796.8154880393886</v>
      </c>
      <c r="J66" s="22">
        <v>24961.304879824653</v>
      </c>
      <c r="K66" s="23">
        <v>5.5224125840320024</v>
      </c>
      <c r="L66" s="23">
        <v>637.20145200369268</v>
      </c>
      <c r="M66" s="21">
        <v>40780.892928236331</v>
      </c>
      <c r="N66" s="20">
        <v>149767.82927894793</v>
      </c>
      <c r="O66" s="23">
        <v>33.134475504192018</v>
      </c>
    </row>
    <row r="67" spans="1:15" ht="13" x14ac:dyDescent="0.15">
      <c r="A67" s="21" t="s">
        <v>14</v>
      </c>
      <c r="B67" s="21" t="s">
        <v>12</v>
      </c>
      <c r="C67" s="21">
        <v>7</v>
      </c>
      <c r="D67" s="21">
        <v>256</v>
      </c>
      <c r="E67" s="21" t="s">
        <v>44</v>
      </c>
      <c r="F67" s="21">
        <v>19.259999999999998</v>
      </c>
      <c r="G67" s="22">
        <v>710000</v>
      </c>
      <c r="H67" s="23">
        <v>1.9561815336463224</v>
      </c>
      <c r="I67" s="21">
        <v>500.78247261345854</v>
      </c>
      <c r="J67" s="22">
        <v>2051.9561815336465</v>
      </c>
      <c r="K67" s="23">
        <v>0.40688575899843504</v>
      </c>
      <c r="L67" s="23">
        <v>11.737089201877934</v>
      </c>
      <c r="M67" s="21">
        <v>3004.6948356807511</v>
      </c>
      <c r="N67" s="20">
        <v>12311.737089201879</v>
      </c>
      <c r="O67" s="23">
        <v>2.4413145539906105</v>
      </c>
    </row>
    <row r="68" spans="1:15" ht="13" x14ac:dyDescent="0.15">
      <c r="A68" s="21" t="s">
        <v>14</v>
      </c>
      <c r="B68" s="21" t="s">
        <v>12</v>
      </c>
      <c r="C68" s="21">
        <v>8</v>
      </c>
      <c r="D68" s="21">
        <v>256</v>
      </c>
      <c r="E68" s="21" t="s">
        <v>44</v>
      </c>
      <c r="F68" s="21">
        <v>19.259999999999998</v>
      </c>
      <c r="G68" s="22">
        <v>710000</v>
      </c>
      <c r="H68" s="23">
        <v>1.9561815336463224</v>
      </c>
      <c r="I68" s="21">
        <v>500.78247261345854</v>
      </c>
      <c r="J68" s="22">
        <v>2564.6322378716745</v>
      </c>
      <c r="K68" s="23">
        <v>0.40688575899843504</v>
      </c>
      <c r="L68" s="23">
        <v>11.737089201877934</v>
      </c>
      <c r="M68" s="21">
        <v>3004.6948356807511</v>
      </c>
      <c r="N68" s="20">
        <v>15387.793427230046</v>
      </c>
      <c r="O68" s="23">
        <v>2.4413145539906105</v>
      </c>
    </row>
    <row r="69" spans="1:15" ht="13" x14ac:dyDescent="0.15">
      <c r="A69" s="21" t="s">
        <v>20</v>
      </c>
      <c r="B69" s="21" t="s">
        <v>12</v>
      </c>
      <c r="C69" s="21">
        <v>12</v>
      </c>
      <c r="D69" s="21">
        <v>256</v>
      </c>
      <c r="E69" s="21" t="s">
        <v>44</v>
      </c>
      <c r="F69" s="21">
        <v>19.740000000000002</v>
      </c>
      <c r="G69" s="22">
        <v>27762.19</v>
      </c>
      <c r="H69" s="23">
        <v>50.028073753867723</v>
      </c>
      <c r="I69" s="21">
        <v>12807.186880990137</v>
      </c>
      <c r="J69" s="22">
        <v>47034.393820436278</v>
      </c>
      <c r="K69" s="23">
        <v>10.405839340804485</v>
      </c>
      <c r="L69" s="23">
        <v>300.16844252320635</v>
      </c>
      <c r="M69" s="21">
        <v>76843.121285940826</v>
      </c>
      <c r="N69" s="20">
        <v>282206.3629226177</v>
      </c>
      <c r="O69" s="23">
        <v>62.435036044826923</v>
      </c>
    </row>
    <row r="70" spans="1:15" ht="13" x14ac:dyDescent="0.15">
      <c r="A70" s="21" t="s">
        <v>20</v>
      </c>
      <c r="B70" s="21" t="s">
        <v>12</v>
      </c>
      <c r="C70" s="21">
        <v>13</v>
      </c>
      <c r="D70" s="21">
        <v>256</v>
      </c>
      <c r="E70" s="21" t="s">
        <v>44</v>
      </c>
      <c r="F70" s="21">
        <v>19.259999999999998</v>
      </c>
      <c r="G70" s="22">
        <v>1040000</v>
      </c>
      <c r="H70" s="23">
        <v>1.3354700854700854</v>
      </c>
      <c r="I70" s="21">
        <v>341.88034188034186</v>
      </c>
      <c r="J70" s="22">
        <v>1162.3931623931624</v>
      </c>
      <c r="K70" s="23">
        <v>0.27777777777777773</v>
      </c>
      <c r="L70" s="23">
        <v>8.0128205128205128</v>
      </c>
      <c r="M70" s="21">
        <v>2051.2820512820513</v>
      </c>
      <c r="N70" s="20">
        <v>6974.3589743589737</v>
      </c>
      <c r="O70" s="23">
        <v>1.6666666666666667</v>
      </c>
    </row>
    <row r="71" spans="1:15" ht="13" x14ac:dyDescent="0.15">
      <c r="A71" s="21" t="s">
        <v>20</v>
      </c>
      <c r="B71" s="21" t="s">
        <v>12</v>
      </c>
      <c r="C71" s="21">
        <v>14</v>
      </c>
      <c r="D71" s="21">
        <v>256</v>
      </c>
      <c r="E71" s="21" t="s">
        <v>44</v>
      </c>
      <c r="F71" s="21">
        <v>19.259999999999998</v>
      </c>
      <c r="G71" s="22">
        <v>1040000</v>
      </c>
      <c r="H71" s="23">
        <v>1.3354700854700854</v>
      </c>
      <c r="I71" s="21">
        <v>341.88034188034186</v>
      </c>
      <c r="J71" s="22">
        <v>1400.4273504273506</v>
      </c>
      <c r="K71" s="23">
        <v>0.27777777777777773</v>
      </c>
      <c r="L71" s="23">
        <v>8.0128205128205128</v>
      </c>
      <c r="M71" s="21">
        <v>2051.2820512820513</v>
      </c>
      <c r="N71" s="20">
        <v>8402.5641025641035</v>
      </c>
      <c r="O71" s="23">
        <v>1.6666666666666667</v>
      </c>
    </row>
    <row r="72" spans="1:15" ht="13" x14ac:dyDescent="0.15">
      <c r="A72" s="21" t="s">
        <v>23</v>
      </c>
      <c r="B72" s="21" t="s">
        <v>12</v>
      </c>
      <c r="C72" s="21">
        <v>16</v>
      </c>
      <c r="D72" s="21">
        <v>256</v>
      </c>
      <c r="E72" s="21" t="s">
        <v>44</v>
      </c>
      <c r="F72" s="21">
        <v>19.259999999999998</v>
      </c>
      <c r="G72" s="22">
        <v>390000</v>
      </c>
      <c r="H72" s="23">
        <v>3.5612535612535612</v>
      </c>
      <c r="I72" s="21">
        <v>911.68091168091166</v>
      </c>
      <c r="J72" s="22">
        <v>3349.2877492877492</v>
      </c>
      <c r="K72" s="23">
        <v>0.7407407407407407</v>
      </c>
      <c r="L72" s="23">
        <v>21.367521367521366</v>
      </c>
      <c r="M72" s="21">
        <v>5470.0854700854698</v>
      </c>
      <c r="N72" s="20">
        <v>20095.726495726496</v>
      </c>
      <c r="O72" s="23">
        <v>4.4444444444444438</v>
      </c>
    </row>
    <row r="73" spans="1:15" ht="13" x14ac:dyDescent="0.15">
      <c r="A73" s="21" t="s">
        <v>23</v>
      </c>
      <c r="B73" s="21" t="s">
        <v>12</v>
      </c>
      <c r="C73" s="21">
        <v>17</v>
      </c>
      <c r="D73" s="21">
        <v>256</v>
      </c>
      <c r="E73" s="21" t="s">
        <v>44</v>
      </c>
      <c r="F73" s="21">
        <v>19.02</v>
      </c>
      <c r="G73" s="22">
        <v>240000</v>
      </c>
      <c r="H73" s="23">
        <v>5.7870370370370363</v>
      </c>
      <c r="I73" s="21">
        <v>1481.4814814814813</v>
      </c>
      <c r="J73" s="22">
        <v>5161.1111111111104</v>
      </c>
      <c r="K73" s="23">
        <v>1.2037037037037035</v>
      </c>
      <c r="L73" s="23">
        <v>34.722222222222221</v>
      </c>
      <c r="M73" s="21">
        <v>8888.8888888888887</v>
      </c>
      <c r="N73" s="20">
        <v>30966.666666666668</v>
      </c>
      <c r="O73" s="23">
        <v>7.2222222222222223</v>
      </c>
    </row>
    <row r="74" spans="1:15" ht="13" x14ac:dyDescent="0.15">
      <c r="A74" s="21" t="s">
        <v>23</v>
      </c>
      <c r="B74" s="21" t="s">
        <v>12</v>
      </c>
      <c r="C74" s="21">
        <v>18</v>
      </c>
      <c r="D74" s="21">
        <v>256</v>
      </c>
      <c r="E74" s="21" t="s">
        <v>44</v>
      </c>
      <c r="F74" s="21">
        <v>19.259999999999998</v>
      </c>
      <c r="G74" s="22">
        <v>390000</v>
      </c>
      <c r="H74" s="23">
        <v>3.5612535612535612</v>
      </c>
      <c r="I74" s="21">
        <v>911.68091168091166</v>
      </c>
      <c r="J74" s="22">
        <v>5204.5584045584046</v>
      </c>
      <c r="K74" s="23">
        <v>0.7407407407407407</v>
      </c>
      <c r="L74" s="23">
        <v>21.367521367521366</v>
      </c>
      <c r="M74" s="21">
        <v>5470.0854700854698</v>
      </c>
      <c r="N74" s="20">
        <v>31227.350427350426</v>
      </c>
      <c r="O74" s="23">
        <v>4.4444444444444438</v>
      </c>
    </row>
    <row r="75" spans="1:15" ht="13" x14ac:dyDescent="0.15">
      <c r="A75" s="21" t="s">
        <v>14</v>
      </c>
      <c r="B75" s="21" t="s">
        <v>12</v>
      </c>
      <c r="C75" s="21">
        <v>7</v>
      </c>
      <c r="D75" s="21">
        <v>128</v>
      </c>
      <c r="E75" s="21" t="s">
        <v>44</v>
      </c>
      <c r="F75" s="21">
        <v>38.01</v>
      </c>
      <c r="G75" s="22">
        <v>380000</v>
      </c>
      <c r="H75" s="23">
        <v>3.6549707602339181</v>
      </c>
      <c r="I75" s="21">
        <v>467.83625730994152</v>
      </c>
      <c r="J75" s="22">
        <v>1916.9590643274855</v>
      </c>
      <c r="K75" s="23">
        <v>0.38011695906432746</v>
      </c>
      <c r="L75" s="23">
        <v>21.929824561403507</v>
      </c>
      <c r="M75" s="21">
        <v>2807.0175438596489</v>
      </c>
      <c r="N75" s="20">
        <v>11501.754385964912</v>
      </c>
      <c r="O75" s="23">
        <v>2.2807017543859645</v>
      </c>
    </row>
    <row r="76" spans="1:15" ht="13" x14ac:dyDescent="0.15">
      <c r="A76" s="21" t="s">
        <v>14</v>
      </c>
      <c r="B76" s="21" t="s">
        <v>12</v>
      </c>
      <c r="C76" s="21">
        <v>8</v>
      </c>
      <c r="D76" s="21">
        <v>128</v>
      </c>
      <c r="E76" s="21" t="s">
        <v>44</v>
      </c>
      <c r="F76" s="21">
        <v>38.01</v>
      </c>
      <c r="G76" s="22">
        <v>380000</v>
      </c>
      <c r="H76" s="23">
        <v>3.6549707602339181</v>
      </c>
      <c r="I76" s="21">
        <v>467.83625730994152</v>
      </c>
      <c r="J76" s="22">
        <v>2395.906432748538</v>
      </c>
      <c r="K76" s="23">
        <v>0.38011695906432746</v>
      </c>
      <c r="L76" s="23">
        <v>21.929824561403507</v>
      </c>
      <c r="M76" s="21">
        <v>2807.0175438596489</v>
      </c>
      <c r="N76" s="20">
        <v>14375.438596491227</v>
      </c>
      <c r="O76" s="23">
        <v>2.2807017543859645</v>
      </c>
    </row>
    <row r="77" spans="1:15" ht="13" x14ac:dyDescent="0.15">
      <c r="A77" s="21" t="s">
        <v>20</v>
      </c>
      <c r="B77" s="21" t="s">
        <v>12</v>
      </c>
      <c r="C77" s="21">
        <v>12</v>
      </c>
      <c r="D77" s="21">
        <v>128</v>
      </c>
      <c r="E77" s="21" t="s">
        <v>44</v>
      </c>
      <c r="F77" s="21">
        <v>38.49</v>
      </c>
      <c r="G77" s="22">
        <v>20972.2</v>
      </c>
      <c r="H77" s="23">
        <v>66.225235735349131</v>
      </c>
      <c r="I77" s="21">
        <v>8476.8301741246887</v>
      </c>
      <c r="J77" s="22">
        <v>31131.158814472918</v>
      </c>
      <c r="K77" s="23">
        <v>6.8874245164763099</v>
      </c>
      <c r="L77" s="23">
        <v>397.35141441209475</v>
      </c>
      <c r="M77" s="21">
        <v>50860.981044748129</v>
      </c>
      <c r="N77" s="20">
        <v>186786.95288683751</v>
      </c>
      <c r="O77" s="23">
        <v>41.324547098857856</v>
      </c>
    </row>
    <row r="78" spans="1:15" ht="13" x14ac:dyDescent="0.15">
      <c r="A78" s="21" t="s">
        <v>20</v>
      </c>
      <c r="B78" s="21" t="s">
        <v>12</v>
      </c>
      <c r="C78" s="21">
        <v>13</v>
      </c>
      <c r="D78" s="21">
        <v>128</v>
      </c>
      <c r="E78" s="21" t="s">
        <v>44</v>
      </c>
      <c r="F78" s="21">
        <v>38.01</v>
      </c>
      <c r="G78" s="22">
        <v>730000</v>
      </c>
      <c r="H78" s="23">
        <v>1.9025875190258752</v>
      </c>
      <c r="I78" s="21">
        <v>243.53120243531203</v>
      </c>
      <c r="J78" s="22">
        <v>828.00608828006091</v>
      </c>
      <c r="K78" s="23">
        <v>0.19786910197869104</v>
      </c>
      <c r="L78" s="23">
        <v>11.415525114155251</v>
      </c>
      <c r="M78" s="21">
        <v>1461.1872146118722</v>
      </c>
      <c r="N78" s="20">
        <v>4968.0365296803648</v>
      </c>
      <c r="O78" s="23">
        <v>1.1872146118721461</v>
      </c>
    </row>
    <row r="79" spans="1:15" ht="13" x14ac:dyDescent="0.15">
      <c r="A79" s="21" t="s">
        <v>20</v>
      </c>
      <c r="B79" s="21" t="s">
        <v>12</v>
      </c>
      <c r="C79" s="21">
        <v>14</v>
      </c>
      <c r="D79" s="21">
        <v>128</v>
      </c>
      <c r="E79" s="21" t="s">
        <v>44</v>
      </c>
      <c r="F79" s="21">
        <v>38.01</v>
      </c>
      <c r="G79" s="22">
        <v>730000</v>
      </c>
      <c r="H79" s="23">
        <v>1.9025875190258752</v>
      </c>
      <c r="I79" s="21">
        <v>243.53120243531203</v>
      </c>
      <c r="J79" s="22">
        <v>997.56468797564696</v>
      </c>
      <c r="K79" s="23">
        <v>0.19786910197869104</v>
      </c>
      <c r="L79" s="23">
        <v>11.415525114155251</v>
      </c>
      <c r="M79" s="21">
        <v>1461.1872146118722</v>
      </c>
      <c r="N79" s="20">
        <v>5985.388127853882</v>
      </c>
      <c r="O79" s="23">
        <v>1.1872146118721461</v>
      </c>
    </row>
    <row r="80" spans="1:15" ht="13" x14ac:dyDescent="0.15">
      <c r="A80" s="21" t="s">
        <v>23</v>
      </c>
      <c r="B80" s="21" t="s">
        <v>12</v>
      </c>
      <c r="C80" s="21">
        <v>16</v>
      </c>
      <c r="D80" s="21">
        <v>128</v>
      </c>
      <c r="E80" s="21" t="s">
        <v>44</v>
      </c>
      <c r="F80" s="21">
        <v>38.01</v>
      </c>
      <c r="G80" s="22">
        <v>140000</v>
      </c>
      <c r="H80" s="23">
        <v>9.9206349206349209</v>
      </c>
      <c r="I80" s="21">
        <v>1269.8412698412699</v>
      </c>
      <c r="J80" s="22">
        <v>4665.0793650793657</v>
      </c>
      <c r="K80" s="23">
        <v>1.0317460317460319</v>
      </c>
      <c r="L80" s="23">
        <v>59.523809523809526</v>
      </c>
      <c r="M80" s="21">
        <v>7619.0476190476193</v>
      </c>
      <c r="N80" s="20">
        <v>27990.476190476191</v>
      </c>
      <c r="O80" s="23">
        <v>6.1904761904761907</v>
      </c>
    </row>
    <row r="81" spans="1:15" ht="13" x14ac:dyDescent="0.15">
      <c r="A81" s="21" t="s">
        <v>23</v>
      </c>
      <c r="B81" s="21" t="s">
        <v>12</v>
      </c>
      <c r="C81" s="21">
        <v>17</v>
      </c>
      <c r="D81" s="21">
        <v>128</v>
      </c>
      <c r="E81" s="21" t="s">
        <v>44</v>
      </c>
      <c r="F81" s="21">
        <v>37.769999999999996</v>
      </c>
      <c r="G81" s="22">
        <v>76752.63</v>
      </c>
      <c r="H81" s="23">
        <v>18.095652082396249</v>
      </c>
      <c r="I81" s="21">
        <v>2316.2434665467199</v>
      </c>
      <c r="J81" s="22">
        <v>8069.2131765821359</v>
      </c>
      <c r="K81" s="23">
        <v>1.8819478165692101</v>
      </c>
      <c r="L81" s="23">
        <v>108.57391249437748</v>
      </c>
      <c r="M81" s="21">
        <v>13897.460799280318</v>
      </c>
      <c r="N81" s="20">
        <v>48415.279059492808</v>
      </c>
      <c r="O81" s="23">
        <v>11.291686899415259</v>
      </c>
    </row>
    <row r="82" spans="1:15" ht="13" x14ac:dyDescent="0.15">
      <c r="A82" s="21" t="s">
        <v>23</v>
      </c>
      <c r="B82" s="21" t="s">
        <v>12</v>
      </c>
      <c r="C82" s="21">
        <v>18</v>
      </c>
      <c r="D82" s="21">
        <v>128</v>
      </c>
      <c r="E82" s="21" t="s">
        <v>44</v>
      </c>
      <c r="F82" s="21">
        <v>38.01</v>
      </c>
      <c r="G82" s="22">
        <v>140000</v>
      </c>
      <c r="H82" s="23">
        <v>9.9206349206349209</v>
      </c>
      <c r="I82" s="21">
        <v>1269.8412698412699</v>
      </c>
      <c r="J82" s="22">
        <v>7249.2063492063498</v>
      </c>
      <c r="K82" s="23">
        <v>1.0317460317460319</v>
      </c>
      <c r="L82" s="23">
        <v>59.523809523809526</v>
      </c>
      <c r="M82" s="21">
        <v>7619.0476190476193</v>
      </c>
      <c r="N82" s="20">
        <v>43495.238095238099</v>
      </c>
      <c r="O82" s="23">
        <v>6.1904761904761907</v>
      </c>
    </row>
    <row r="83" spans="1:15" ht="13" x14ac:dyDescent="0.15">
      <c r="A83" s="21" t="s">
        <v>14</v>
      </c>
      <c r="B83" s="21" t="s">
        <v>13</v>
      </c>
      <c r="C83" s="21">
        <v>9</v>
      </c>
      <c r="D83" s="21">
        <v>512</v>
      </c>
      <c r="E83" s="21" t="s">
        <v>46</v>
      </c>
      <c r="F83" s="21">
        <v>9.39</v>
      </c>
      <c r="G83" s="22">
        <v>1390000</v>
      </c>
      <c r="H83" s="23">
        <v>0.9992006394884092</v>
      </c>
      <c r="I83" s="21">
        <v>511.59072741806551</v>
      </c>
      <c r="J83" s="22">
        <v>6287.4500399680246</v>
      </c>
      <c r="K83" s="23">
        <v>0.65227817745803351</v>
      </c>
      <c r="L83" s="23">
        <v>5.9952038369304566</v>
      </c>
      <c r="M83" s="21">
        <v>3069.5443645083938</v>
      </c>
      <c r="N83" s="20">
        <v>37724.700239808153</v>
      </c>
      <c r="O83" s="23">
        <v>3.913669064748202</v>
      </c>
    </row>
    <row r="84" spans="1:15" ht="13" x14ac:dyDescent="0.15">
      <c r="A84" s="21" t="s">
        <v>14</v>
      </c>
      <c r="B84" s="21" t="s">
        <v>13</v>
      </c>
      <c r="C84" s="21">
        <v>9</v>
      </c>
      <c r="D84" s="21">
        <v>64</v>
      </c>
      <c r="E84" s="21" t="s">
        <v>46</v>
      </c>
      <c r="F84" s="21">
        <v>75.150000000000006</v>
      </c>
      <c r="G84" s="22">
        <v>590000</v>
      </c>
      <c r="H84" s="23">
        <v>2.3540489642184559</v>
      </c>
      <c r="I84" s="21">
        <v>150.65913370998118</v>
      </c>
      <c r="J84" s="22">
        <v>1851.6007532956685</v>
      </c>
      <c r="K84" s="23">
        <v>0.19209039548022599</v>
      </c>
      <c r="L84" s="23">
        <v>14.124293785310735</v>
      </c>
      <c r="M84" s="21">
        <v>903.95480225988706</v>
      </c>
      <c r="N84" s="20">
        <v>11109.604519774011</v>
      </c>
      <c r="O84" s="23">
        <v>1.152542372881356</v>
      </c>
    </row>
    <row r="85" spans="1:15" ht="13" x14ac:dyDescent="0.15">
      <c r="A85" s="21" t="s">
        <v>14</v>
      </c>
      <c r="B85" s="21" t="s">
        <v>13</v>
      </c>
      <c r="C85" s="21">
        <v>9</v>
      </c>
      <c r="D85" s="21">
        <v>256</v>
      </c>
      <c r="E85" s="21" t="s">
        <v>46</v>
      </c>
      <c r="F85" s="21">
        <v>18.78</v>
      </c>
      <c r="G85" s="22">
        <v>1270000</v>
      </c>
      <c r="H85" s="23">
        <v>1.0936132983377078</v>
      </c>
      <c r="I85" s="21">
        <v>279.9650043744532</v>
      </c>
      <c r="J85" s="22">
        <v>3440.7699037620296</v>
      </c>
      <c r="K85" s="23">
        <v>0.35695538057742787</v>
      </c>
      <c r="L85" s="23">
        <v>6.561679790026246</v>
      </c>
      <c r="M85" s="21">
        <v>1679.790026246719</v>
      </c>
      <c r="N85" s="20">
        <v>20644.619422572174</v>
      </c>
      <c r="O85" s="23">
        <v>2.1417322834645667</v>
      </c>
    </row>
    <row r="86" spans="1:15" ht="13" x14ac:dyDescent="0.15">
      <c r="A86" s="21" t="s">
        <v>14</v>
      </c>
      <c r="B86" s="21" t="s">
        <v>13</v>
      </c>
      <c r="C86" s="21">
        <v>9</v>
      </c>
      <c r="D86" s="21">
        <v>128</v>
      </c>
      <c r="E86" s="21" t="s">
        <v>46</v>
      </c>
      <c r="F86" s="21">
        <v>37.56</v>
      </c>
      <c r="G86" s="22">
        <v>1000000</v>
      </c>
      <c r="H86" s="23">
        <v>1.3888888888888888</v>
      </c>
      <c r="I86" s="21">
        <v>177.77777777777777</v>
      </c>
      <c r="J86" s="22">
        <v>2184.8888888888887</v>
      </c>
      <c r="K86" s="23">
        <v>0.22666666666666666</v>
      </c>
      <c r="L86" s="23">
        <v>8.3333333333333339</v>
      </c>
      <c r="M86" s="21">
        <v>1066.6666666666667</v>
      </c>
      <c r="N86" s="20">
        <v>13109.333333333334</v>
      </c>
      <c r="O86" s="23">
        <v>1.36</v>
      </c>
    </row>
    <row r="87" spans="1:15" ht="13" x14ac:dyDescent="0.15">
      <c r="A87" s="21" t="s">
        <v>14</v>
      </c>
      <c r="B87" s="21" t="s">
        <v>13</v>
      </c>
      <c r="C87" s="21">
        <v>9</v>
      </c>
      <c r="D87" s="21">
        <v>512</v>
      </c>
      <c r="E87" s="21" t="s">
        <v>43</v>
      </c>
      <c r="F87" s="21">
        <v>13.200000000000001</v>
      </c>
      <c r="G87" s="22">
        <v>2080000</v>
      </c>
      <c r="H87" s="23">
        <v>0.66773504273504269</v>
      </c>
      <c r="I87" s="21">
        <v>341.88034188034186</v>
      </c>
      <c r="J87" s="22">
        <v>4201.7094017094014</v>
      </c>
      <c r="K87" s="23">
        <v>0.4358974358974359</v>
      </c>
      <c r="L87" s="23">
        <v>4.0064102564102564</v>
      </c>
      <c r="M87" s="21">
        <v>2051.2820512820513</v>
      </c>
      <c r="N87" s="20">
        <v>25210.25641025641</v>
      </c>
      <c r="O87" s="23">
        <v>2.6153846153846154</v>
      </c>
    </row>
    <row r="88" spans="1:15" ht="13" x14ac:dyDescent="0.15">
      <c r="A88" s="21" t="s">
        <v>14</v>
      </c>
      <c r="B88" s="21" t="s">
        <v>13</v>
      </c>
      <c r="C88" s="21">
        <v>9</v>
      </c>
      <c r="D88" s="21">
        <v>64</v>
      </c>
      <c r="E88" s="21" t="s">
        <v>43</v>
      </c>
      <c r="F88" s="21">
        <v>78.900000000000006</v>
      </c>
      <c r="G88" s="22">
        <v>760000</v>
      </c>
      <c r="H88" s="23">
        <v>1.827485380116959</v>
      </c>
      <c r="I88" s="21">
        <v>116.95906432748538</v>
      </c>
      <c r="J88" s="22">
        <v>1437.4269005847952</v>
      </c>
      <c r="K88" s="23">
        <v>0.14912280701754385</v>
      </c>
      <c r="L88" s="23">
        <v>10.964912280701753</v>
      </c>
      <c r="M88" s="21">
        <v>701.75438596491222</v>
      </c>
      <c r="N88" s="20">
        <v>8624.561403508771</v>
      </c>
      <c r="O88" s="23">
        <v>0.89473684210526305</v>
      </c>
    </row>
    <row r="89" spans="1:15" ht="13" x14ac:dyDescent="0.15">
      <c r="A89" s="21" t="s">
        <v>14</v>
      </c>
      <c r="B89" s="21" t="s">
        <v>13</v>
      </c>
      <c r="C89" s="21">
        <v>9</v>
      </c>
      <c r="D89" s="21">
        <v>256</v>
      </c>
      <c r="E89" s="21" t="s">
        <v>43</v>
      </c>
      <c r="F89" s="21">
        <v>22.59</v>
      </c>
      <c r="G89" s="22">
        <v>1880000</v>
      </c>
      <c r="H89" s="23">
        <v>0.73877068557919612</v>
      </c>
      <c r="I89" s="21">
        <v>189.12529550827421</v>
      </c>
      <c r="J89" s="22">
        <v>2324.3498817966897</v>
      </c>
      <c r="K89" s="23">
        <v>0.2411347517730496</v>
      </c>
      <c r="L89" s="23">
        <v>4.4326241134751774</v>
      </c>
      <c r="M89" s="21">
        <v>1134.7517730496454</v>
      </c>
      <c r="N89" s="20">
        <v>13946.099290780141</v>
      </c>
      <c r="O89" s="23">
        <v>1.446808510638298</v>
      </c>
    </row>
    <row r="90" spans="1:15" ht="13" x14ac:dyDescent="0.15">
      <c r="A90" s="21" t="s">
        <v>14</v>
      </c>
      <c r="B90" s="21" t="s">
        <v>13</v>
      </c>
      <c r="C90" s="21">
        <v>9</v>
      </c>
      <c r="D90" s="21">
        <v>128</v>
      </c>
      <c r="E90" s="21" t="s">
        <v>43</v>
      </c>
      <c r="F90" s="21">
        <v>41.37</v>
      </c>
      <c r="G90" s="22">
        <v>1430000</v>
      </c>
      <c r="H90" s="23">
        <v>0.97125097125097126</v>
      </c>
      <c r="I90" s="21">
        <v>124.32012432012432</v>
      </c>
      <c r="J90" s="22">
        <v>1527.8943278943277</v>
      </c>
      <c r="K90" s="23">
        <v>0.15850815850815853</v>
      </c>
      <c r="L90" s="23">
        <v>5.8275058275058269</v>
      </c>
      <c r="M90" s="21">
        <v>745.92074592074584</v>
      </c>
      <c r="N90" s="20">
        <v>9167.3659673659658</v>
      </c>
      <c r="O90" s="23">
        <v>0.95104895104895093</v>
      </c>
    </row>
    <row r="91" spans="1:15" ht="13" x14ac:dyDescent="0.15">
      <c r="A91" s="21" t="s">
        <v>14</v>
      </c>
      <c r="B91" s="21" t="s">
        <v>13</v>
      </c>
      <c r="C91" s="21">
        <v>9</v>
      </c>
      <c r="D91" s="21">
        <v>512</v>
      </c>
      <c r="E91" s="21" t="s">
        <v>44</v>
      </c>
      <c r="F91" s="21">
        <v>9.870000000000001</v>
      </c>
      <c r="G91" s="22">
        <v>1970000</v>
      </c>
      <c r="H91" s="23">
        <v>0.70501974055273553</v>
      </c>
      <c r="I91" s="21">
        <v>360.97010716300059</v>
      </c>
      <c r="J91" s="22">
        <v>4436.3226170332773</v>
      </c>
      <c r="K91" s="23">
        <v>0.46023688663282575</v>
      </c>
      <c r="L91" s="23">
        <v>4.230118443316413</v>
      </c>
      <c r="M91" s="21">
        <v>2165.8206429780034</v>
      </c>
      <c r="N91" s="20">
        <v>26617.935702199662</v>
      </c>
      <c r="O91" s="23">
        <v>2.7614213197969542</v>
      </c>
    </row>
    <row r="92" spans="1:15" ht="13" x14ac:dyDescent="0.15">
      <c r="A92" s="21" t="s">
        <v>14</v>
      </c>
      <c r="B92" s="21" t="s">
        <v>13</v>
      </c>
      <c r="C92" s="21">
        <v>9</v>
      </c>
      <c r="D92" s="21">
        <v>64</v>
      </c>
      <c r="E92" s="21" t="s">
        <v>44</v>
      </c>
      <c r="F92" s="21">
        <v>75.570000000000007</v>
      </c>
      <c r="G92" s="22">
        <v>640000</v>
      </c>
      <c r="H92" s="23">
        <v>2.1701388888888888</v>
      </c>
      <c r="I92" s="21">
        <v>138.88888888888889</v>
      </c>
      <c r="J92" s="22">
        <v>1706.9444444444443</v>
      </c>
      <c r="K92" s="23">
        <v>0.17708333333333334</v>
      </c>
      <c r="L92" s="23">
        <v>13.020833333333334</v>
      </c>
      <c r="M92" s="21">
        <v>833.33333333333337</v>
      </c>
      <c r="N92" s="20">
        <v>10241.666666666666</v>
      </c>
      <c r="O92" s="23">
        <v>1.0625</v>
      </c>
    </row>
    <row r="93" spans="1:15" ht="13" x14ac:dyDescent="0.15">
      <c r="A93" s="21" t="s">
        <v>14</v>
      </c>
      <c r="B93" s="21" t="s">
        <v>13</v>
      </c>
      <c r="C93" s="21">
        <v>9</v>
      </c>
      <c r="D93" s="21">
        <v>256</v>
      </c>
      <c r="E93" s="21" t="s">
        <v>44</v>
      </c>
      <c r="F93" s="21">
        <v>19.259999999999998</v>
      </c>
      <c r="G93" s="22">
        <v>1710000</v>
      </c>
      <c r="H93" s="23">
        <v>0.81221572449642621</v>
      </c>
      <c r="I93" s="21">
        <v>207.92722547108511</v>
      </c>
      <c r="J93" s="22">
        <v>2555.4256010396357</v>
      </c>
      <c r="K93" s="23">
        <v>0.26510721247563351</v>
      </c>
      <c r="L93" s="23">
        <v>4.8732943469785575</v>
      </c>
      <c r="M93" s="21">
        <v>1247.5633528265107</v>
      </c>
      <c r="N93" s="20">
        <v>15332.553606237816</v>
      </c>
      <c r="O93" s="23">
        <v>1.5906432748538011</v>
      </c>
    </row>
    <row r="94" spans="1:15" ht="13" x14ac:dyDescent="0.15">
      <c r="A94" s="21" t="s">
        <v>14</v>
      </c>
      <c r="B94" s="21" t="s">
        <v>13</v>
      </c>
      <c r="C94" s="21">
        <v>9</v>
      </c>
      <c r="D94" s="21">
        <v>128</v>
      </c>
      <c r="E94" s="21" t="s">
        <v>44</v>
      </c>
      <c r="F94" s="21">
        <v>38.01</v>
      </c>
      <c r="G94" s="22">
        <v>1240000</v>
      </c>
      <c r="H94" s="23">
        <v>1.1200716845878136</v>
      </c>
      <c r="I94" s="21">
        <v>143.36917562724014</v>
      </c>
      <c r="J94" s="22">
        <v>1762.0071684587813</v>
      </c>
      <c r="K94" s="23">
        <v>0.18279569892473116</v>
      </c>
      <c r="L94" s="23">
        <v>6.7204301075268811</v>
      </c>
      <c r="M94" s="21">
        <v>860.21505376344078</v>
      </c>
      <c r="N94" s="20">
        <v>10572.043010752686</v>
      </c>
      <c r="O94" s="23">
        <v>1.096774193548387</v>
      </c>
    </row>
    <row r="95" spans="1:15" ht="13" x14ac:dyDescent="0.15">
      <c r="A95" s="21" t="s">
        <v>14</v>
      </c>
      <c r="B95" s="21" t="s">
        <v>11</v>
      </c>
      <c r="C95" s="21">
        <v>5</v>
      </c>
      <c r="D95" s="21">
        <v>512</v>
      </c>
      <c r="E95" s="21" t="s">
        <v>46</v>
      </c>
      <c r="F95" s="21">
        <v>9.39</v>
      </c>
      <c r="G95" s="22">
        <v>210000</v>
      </c>
      <c r="H95" s="23">
        <v>6.6137566137566139</v>
      </c>
      <c r="I95" s="21">
        <v>3386.2433862433863</v>
      </c>
      <c r="J95" s="22">
        <v>10361.904761904761</v>
      </c>
      <c r="K95" s="23">
        <v>2.1164021164021167</v>
      </c>
      <c r="L95" s="23">
        <v>39.682539682539684</v>
      </c>
      <c r="M95" s="21">
        <v>20317.460317460318</v>
      </c>
      <c r="N95" s="20">
        <v>62171.428571428572</v>
      </c>
      <c r="O95" s="23">
        <v>12.698412698412699</v>
      </c>
    </row>
    <row r="96" spans="1:15" ht="13" x14ac:dyDescent="0.15">
      <c r="A96" s="21" t="s">
        <v>14</v>
      </c>
      <c r="B96" s="21" t="s">
        <v>11</v>
      </c>
      <c r="C96" s="21">
        <v>6</v>
      </c>
      <c r="D96" s="21">
        <v>512</v>
      </c>
      <c r="E96" s="21" t="s">
        <v>46</v>
      </c>
      <c r="F96" s="21">
        <v>9.39</v>
      </c>
      <c r="G96" s="22">
        <v>290000</v>
      </c>
      <c r="H96" s="23">
        <v>4.7892720306513406</v>
      </c>
      <c r="I96" s="21">
        <v>2452.1072796934864</v>
      </c>
      <c r="J96" s="22">
        <v>9566.2835249042146</v>
      </c>
      <c r="K96" s="23">
        <v>1.5325670498084292</v>
      </c>
      <c r="L96" s="23">
        <v>28.735632183908049</v>
      </c>
      <c r="M96" s="21">
        <v>14712.643678160921</v>
      </c>
      <c r="N96" s="20">
        <v>57397.701149425295</v>
      </c>
      <c r="O96" s="23">
        <v>9.1954022988505759</v>
      </c>
    </row>
    <row r="97" spans="1:15" ht="13" x14ac:dyDescent="0.15">
      <c r="A97" s="21" t="s">
        <v>20</v>
      </c>
      <c r="B97" s="21" t="s">
        <v>11</v>
      </c>
      <c r="C97" s="21">
        <v>10</v>
      </c>
      <c r="D97" s="21">
        <v>512</v>
      </c>
      <c r="E97" s="21" t="s">
        <v>46</v>
      </c>
      <c r="F97" s="21">
        <v>9.39</v>
      </c>
      <c r="G97" s="22">
        <v>7894.08</v>
      </c>
      <c r="H97" s="23">
        <v>175.94056418086578</v>
      </c>
      <c r="I97" s="21">
        <v>90081.568860603278</v>
      </c>
      <c r="J97" s="22">
        <v>303124.47921593004</v>
      </c>
      <c r="K97" s="23">
        <v>56.300980537877045</v>
      </c>
      <c r="L97" s="23">
        <v>1055.6433850851945</v>
      </c>
      <c r="M97" s="21">
        <v>540489.41316361958</v>
      </c>
      <c r="N97" s="20">
        <v>1818746.8752955799</v>
      </c>
      <c r="O97" s="23">
        <v>337.80588322726226</v>
      </c>
    </row>
    <row r="98" spans="1:15" ht="13" x14ac:dyDescent="0.15">
      <c r="A98" s="21" t="s">
        <v>20</v>
      </c>
      <c r="B98" s="21" t="s">
        <v>11</v>
      </c>
      <c r="C98" s="21">
        <v>11</v>
      </c>
      <c r="D98" s="21">
        <v>512</v>
      </c>
      <c r="E98" s="21" t="s">
        <v>46</v>
      </c>
      <c r="F98" s="21">
        <v>9.39</v>
      </c>
      <c r="G98" s="22">
        <v>290000</v>
      </c>
      <c r="H98" s="23">
        <v>4.7892720306513406</v>
      </c>
      <c r="I98" s="21">
        <v>2452.1072796934864</v>
      </c>
      <c r="J98" s="22">
        <v>6752.4904214559383</v>
      </c>
      <c r="K98" s="23">
        <v>1.5325670498084292</v>
      </c>
      <c r="L98" s="23">
        <v>28.735632183908049</v>
      </c>
      <c r="M98" s="21">
        <v>14712.643678160921</v>
      </c>
      <c r="N98" s="20">
        <v>40514.942528735635</v>
      </c>
      <c r="O98" s="23">
        <v>9.1954022988505759</v>
      </c>
    </row>
    <row r="99" spans="1:15" ht="13" x14ac:dyDescent="0.15">
      <c r="A99" s="21" t="s">
        <v>23</v>
      </c>
      <c r="B99" s="21" t="s">
        <v>11</v>
      </c>
      <c r="C99" s="21">
        <v>15</v>
      </c>
      <c r="D99" s="21">
        <v>512</v>
      </c>
      <c r="E99" s="21" t="s">
        <v>46</v>
      </c>
      <c r="F99" s="21">
        <v>9.39</v>
      </c>
      <c r="G99" s="22">
        <v>370000</v>
      </c>
      <c r="H99" s="23">
        <v>3.7537537537537538</v>
      </c>
      <c r="I99" s="21">
        <v>1921.9219219219219</v>
      </c>
      <c r="J99" s="22">
        <v>4766.3663663663665</v>
      </c>
      <c r="K99" s="23">
        <v>1.2012012012012012</v>
      </c>
      <c r="L99" s="23">
        <v>22.522522522522522</v>
      </c>
      <c r="M99" s="21">
        <v>11531.531531531531</v>
      </c>
      <c r="N99" s="20">
        <v>28598.198198198195</v>
      </c>
      <c r="O99" s="23">
        <v>7.2072072072072064</v>
      </c>
    </row>
    <row r="100" spans="1:15" ht="13" x14ac:dyDescent="0.15">
      <c r="A100" s="21" t="s">
        <v>14</v>
      </c>
      <c r="B100" s="21" t="s">
        <v>11</v>
      </c>
      <c r="C100" s="21">
        <v>6</v>
      </c>
      <c r="D100" s="21">
        <v>256</v>
      </c>
      <c r="E100" s="21" t="s">
        <v>46</v>
      </c>
      <c r="F100" s="21">
        <v>18.78</v>
      </c>
      <c r="G100" s="22">
        <v>200000</v>
      </c>
      <c r="H100" s="23">
        <v>6.9444444444444446</v>
      </c>
      <c r="I100" s="21">
        <v>1777.7777777777778</v>
      </c>
      <c r="J100" s="22">
        <v>6935.5555555555557</v>
      </c>
      <c r="K100" s="23">
        <v>1.1111111111111112</v>
      </c>
      <c r="L100" s="23">
        <v>41.666666666666664</v>
      </c>
      <c r="M100" s="21">
        <v>10666.666666666666</v>
      </c>
      <c r="N100" s="20">
        <v>41613.333333333328</v>
      </c>
      <c r="O100" s="23">
        <v>6.6666666666666661</v>
      </c>
    </row>
    <row r="101" spans="1:15" ht="13" x14ac:dyDescent="0.15">
      <c r="A101" s="21" t="s">
        <v>20</v>
      </c>
      <c r="B101" s="21" t="s">
        <v>11</v>
      </c>
      <c r="C101" s="21">
        <v>11</v>
      </c>
      <c r="D101" s="21">
        <v>256</v>
      </c>
      <c r="E101" s="21" t="s">
        <v>46</v>
      </c>
      <c r="F101" s="21">
        <v>18.78</v>
      </c>
      <c r="G101" s="22">
        <v>200000</v>
      </c>
      <c r="H101" s="23">
        <v>6.9444444444444446</v>
      </c>
      <c r="I101" s="21">
        <v>1777.7777777777778</v>
      </c>
      <c r="J101" s="22">
        <v>4895.5555555555557</v>
      </c>
      <c r="K101" s="23">
        <v>1.1111111111111112</v>
      </c>
      <c r="L101" s="23">
        <v>41.666666666666664</v>
      </c>
      <c r="M101" s="21">
        <v>10666.666666666666</v>
      </c>
      <c r="N101" s="20">
        <v>29373.333333333332</v>
      </c>
      <c r="O101" s="23">
        <v>6.6666666666666661</v>
      </c>
    </row>
    <row r="102" spans="1:15" ht="13" x14ac:dyDescent="0.15">
      <c r="A102" s="21" t="s">
        <v>14</v>
      </c>
      <c r="B102" s="21" t="s">
        <v>11</v>
      </c>
      <c r="C102" s="21">
        <v>5</v>
      </c>
      <c r="D102" s="21">
        <v>512</v>
      </c>
      <c r="E102" s="21" t="s">
        <v>43</v>
      </c>
      <c r="F102" s="21">
        <v>13.200000000000001</v>
      </c>
      <c r="G102" s="22">
        <v>280000</v>
      </c>
      <c r="H102" s="23">
        <v>4.9603174603174605</v>
      </c>
      <c r="I102" s="21">
        <v>2539.6825396825398</v>
      </c>
      <c r="J102" s="22">
        <v>7771.4285714285716</v>
      </c>
      <c r="K102" s="23">
        <v>1.5873015873015874</v>
      </c>
      <c r="L102" s="23">
        <v>29.761904761904763</v>
      </c>
      <c r="M102" s="21">
        <v>15238.095238095239</v>
      </c>
      <c r="N102" s="20">
        <v>46628.571428571428</v>
      </c>
      <c r="O102" s="23">
        <v>9.5238095238095237</v>
      </c>
    </row>
    <row r="103" spans="1:15" ht="13" x14ac:dyDescent="0.15">
      <c r="A103" s="21" t="s">
        <v>14</v>
      </c>
      <c r="B103" s="21" t="s">
        <v>11</v>
      </c>
      <c r="C103" s="21">
        <v>6</v>
      </c>
      <c r="D103" s="21">
        <v>512</v>
      </c>
      <c r="E103" s="21" t="s">
        <v>43</v>
      </c>
      <c r="F103" s="21">
        <v>13.200000000000001</v>
      </c>
      <c r="G103" s="22">
        <v>420000</v>
      </c>
      <c r="H103" s="23">
        <v>3.306878306878307</v>
      </c>
      <c r="I103" s="21">
        <v>1693.1216931216932</v>
      </c>
      <c r="J103" s="22">
        <v>6605.2910052910056</v>
      </c>
      <c r="K103" s="23">
        <v>1.0582010582010584</v>
      </c>
      <c r="L103" s="23">
        <v>19.841269841269842</v>
      </c>
      <c r="M103" s="21">
        <v>10158.730158730159</v>
      </c>
      <c r="N103" s="20">
        <v>39631.746031746035</v>
      </c>
      <c r="O103" s="23">
        <v>6.3492063492063497</v>
      </c>
    </row>
    <row r="104" spans="1:15" ht="13" x14ac:dyDescent="0.15">
      <c r="A104" s="21" t="s">
        <v>20</v>
      </c>
      <c r="B104" s="21" t="s">
        <v>11</v>
      </c>
      <c r="C104" s="21">
        <v>10</v>
      </c>
      <c r="D104" s="21">
        <v>512</v>
      </c>
      <c r="E104" s="21" t="s">
        <v>43</v>
      </c>
      <c r="F104" s="21">
        <v>13.200000000000001</v>
      </c>
      <c r="G104" s="22">
        <v>11817.91</v>
      </c>
      <c r="H104" s="23">
        <v>117.52407057499074</v>
      </c>
      <c r="I104" s="21">
        <v>60172.324134395261</v>
      </c>
      <c r="J104" s="22">
        <v>202479.87071224008</v>
      </c>
      <c r="K104" s="23">
        <v>37.607702583997039</v>
      </c>
      <c r="L104" s="23">
        <v>705.1444234499445</v>
      </c>
      <c r="M104" s="21">
        <v>361033.94480637158</v>
      </c>
      <c r="N104" s="20">
        <v>1214879.2242734404</v>
      </c>
      <c r="O104" s="23">
        <v>225.64621550398223</v>
      </c>
    </row>
    <row r="105" spans="1:15" ht="13" x14ac:dyDescent="0.15">
      <c r="A105" s="21" t="s">
        <v>20</v>
      </c>
      <c r="B105" s="21" t="s">
        <v>11</v>
      </c>
      <c r="C105" s="21">
        <v>11</v>
      </c>
      <c r="D105" s="21">
        <v>512</v>
      </c>
      <c r="E105" s="21" t="s">
        <v>43</v>
      </c>
      <c r="F105" s="21">
        <v>13.200000000000001</v>
      </c>
      <c r="G105" s="22">
        <v>420000</v>
      </c>
      <c r="H105" s="23">
        <v>3.306878306878307</v>
      </c>
      <c r="I105" s="21">
        <v>1693.1216931216932</v>
      </c>
      <c r="J105" s="22">
        <v>4662.4338624338625</v>
      </c>
      <c r="K105" s="23">
        <v>1.0582010582010584</v>
      </c>
      <c r="L105" s="23">
        <v>19.841269841269842</v>
      </c>
      <c r="M105" s="21">
        <v>10158.730158730159</v>
      </c>
      <c r="N105" s="20">
        <v>27974.603174603177</v>
      </c>
      <c r="O105" s="23">
        <v>6.3492063492063497</v>
      </c>
    </row>
    <row r="106" spans="1:15" ht="13" x14ac:dyDescent="0.15">
      <c r="A106" s="21" t="s">
        <v>23</v>
      </c>
      <c r="B106" s="21" t="s">
        <v>11</v>
      </c>
      <c r="C106" s="21">
        <v>15</v>
      </c>
      <c r="D106" s="21">
        <v>512</v>
      </c>
      <c r="E106" s="21" t="s">
        <v>43</v>
      </c>
      <c r="F106" s="21">
        <v>13.200000000000001</v>
      </c>
      <c r="G106" s="22">
        <v>540000</v>
      </c>
      <c r="H106" s="23">
        <v>2.57201646090535</v>
      </c>
      <c r="I106" s="21">
        <v>1316.8724279835392</v>
      </c>
      <c r="J106" s="22">
        <v>3265.8436213991772</v>
      </c>
      <c r="K106" s="23">
        <v>0.82304526748971196</v>
      </c>
      <c r="L106" s="23">
        <v>15.432098765432098</v>
      </c>
      <c r="M106" s="21">
        <v>7901.2345679012342</v>
      </c>
      <c r="N106" s="20">
        <v>19595.06172839506</v>
      </c>
      <c r="O106" s="23">
        <v>4.9382716049382713</v>
      </c>
    </row>
    <row r="107" spans="1:15" ht="13" x14ac:dyDescent="0.15">
      <c r="A107" s="21" t="s">
        <v>14</v>
      </c>
      <c r="B107" s="21" t="s">
        <v>11</v>
      </c>
      <c r="C107" s="21">
        <v>6</v>
      </c>
      <c r="D107" s="21">
        <v>256</v>
      </c>
      <c r="E107" s="21" t="s">
        <v>43</v>
      </c>
      <c r="F107" s="21">
        <v>22.59</v>
      </c>
      <c r="G107" s="22">
        <v>280000</v>
      </c>
      <c r="H107" s="23">
        <v>4.9603174603174605</v>
      </c>
      <c r="I107" s="21">
        <v>1269.8412698412699</v>
      </c>
      <c r="J107" s="22">
        <v>4953.9682539682544</v>
      </c>
      <c r="K107" s="23">
        <v>0.79365079365079372</v>
      </c>
      <c r="L107" s="23">
        <v>29.761904761904763</v>
      </c>
      <c r="M107" s="21">
        <v>7619.0476190476193</v>
      </c>
      <c r="N107" s="20">
        <v>29723.809523809527</v>
      </c>
      <c r="O107" s="23">
        <v>4.7619047619047619</v>
      </c>
    </row>
    <row r="108" spans="1:15" ht="13" x14ac:dyDescent="0.15">
      <c r="A108" s="21" t="s">
        <v>20</v>
      </c>
      <c r="B108" s="21" t="s">
        <v>11</v>
      </c>
      <c r="C108" s="21">
        <v>11</v>
      </c>
      <c r="D108" s="21">
        <v>256</v>
      </c>
      <c r="E108" s="21" t="s">
        <v>43</v>
      </c>
      <c r="F108" s="21">
        <v>22.59</v>
      </c>
      <c r="G108" s="22">
        <v>280000</v>
      </c>
      <c r="H108" s="23">
        <v>4.9603174603174605</v>
      </c>
      <c r="I108" s="21">
        <v>1269.8412698412699</v>
      </c>
      <c r="J108" s="22">
        <v>3496.8253968253971</v>
      </c>
      <c r="K108" s="23">
        <v>0.79365079365079372</v>
      </c>
      <c r="L108" s="23">
        <v>29.761904761904763</v>
      </c>
      <c r="M108" s="21">
        <v>7619.0476190476193</v>
      </c>
      <c r="N108" s="20">
        <v>20980.952380952382</v>
      </c>
      <c r="O108" s="23">
        <v>4.7619047619047619</v>
      </c>
    </row>
    <row r="109" spans="1:15" ht="13" x14ac:dyDescent="0.15">
      <c r="A109" s="21" t="s">
        <v>14</v>
      </c>
      <c r="B109" s="21" t="s">
        <v>11</v>
      </c>
      <c r="C109" s="21">
        <v>5</v>
      </c>
      <c r="D109" s="21">
        <v>512</v>
      </c>
      <c r="E109" s="21" t="s">
        <v>44</v>
      </c>
      <c r="F109" s="21">
        <v>9.870000000000001</v>
      </c>
      <c r="G109" s="22">
        <v>280000</v>
      </c>
      <c r="H109" s="23">
        <v>4.9603174603174605</v>
      </c>
      <c r="I109" s="21">
        <v>2539.6825396825398</v>
      </c>
      <c r="J109" s="22">
        <v>7771.4285714285716</v>
      </c>
      <c r="K109" s="23">
        <v>1.5873015873015874</v>
      </c>
      <c r="L109" s="23">
        <v>29.761904761904763</v>
      </c>
      <c r="M109" s="21">
        <v>15238.095238095239</v>
      </c>
      <c r="N109" s="20">
        <v>46628.571428571428</v>
      </c>
      <c r="O109" s="23">
        <v>9.5238095238095237</v>
      </c>
    </row>
    <row r="110" spans="1:15" ht="13" x14ac:dyDescent="0.15">
      <c r="A110" s="21" t="s">
        <v>14</v>
      </c>
      <c r="B110" s="21" t="s">
        <v>11</v>
      </c>
      <c r="C110" s="21">
        <v>6</v>
      </c>
      <c r="D110" s="21">
        <v>512</v>
      </c>
      <c r="E110" s="21" t="s">
        <v>44</v>
      </c>
      <c r="F110" s="21">
        <v>9.870000000000001</v>
      </c>
      <c r="G110" s="22">
        <v>400000</v>
      </c>
      <c r="H110" s="23">
        <v>3.4722222222222223</v>
      </c>
      <c r="I110" s="21">
        <v>1777.7777777777778</v>
      </c>
      <c r="J110" s="22">
        <v>6935.5555555555557</v>
      </c>
      <c r="K110" s="23">
        <v>1.1111111111111112</v>
      </c>
      <c r="L110" s="23">
        <v>20.833333333333332</v>
      </c>
      <c r="M110" s="21">
        <v>10666.666666666666</v>
      </c>
      <c r="N110" s="20">
        <v>41613.333333333328</v>
      </c>
      <c r="O110" s="23">
        <v>6.6666666666666661</v>
      </c>
    </row>
    <row r="111" spans="1:15" ht="13" x14ac:dyDescent="0.15">
      <c r="A111" s="21" t="s">
        <v>20</v>
      </c>
      <c r="B111" s="21" t="s">
        <v>11</v>
      </c>
      <c r="C111" s="21">
        <v>10</v>
      </c>
      <c r="D111" s="21">
        <v>512</v>
      </c>
      <c r="E111" s="21" t="s">
        <v>44</v>
      </c>
      <c r="F111" s="21">
        <v>10.350000000000001</v>
      </c>
      <c r="G111" s="22">
        <v>10481.69</v>
      </c>
      <c r="H111" s="23">
        <v>132.506197844898</v>
      </c>
      <c r="I111" s="21">
        <v>67843.173296587775</v>
      </c>
      <c r="J111" s="22">
        <v>228292.27814301787</v>
      </c>
      <c r="K111" s="23">
        <v>42.401983310367363</v>
      </c>
      <c r="L111" s="23">
        <v>795.03718706938798</v>
      </c>
      <c r="M111" s="21">
        <v>407059.03977952665</v>
      </c>
      <c r="N111" s="20">
        <v>1369753.6688581072</v>
      </c>
      <c r="O111" s="23">
        <v>254.41189986220417</v>
      </c>
    </row>
    <row r="112" spans="1:15" ht="13" x14ac:dyDescent="0.15">
      <c r="A112" s="21" t="s">
        <v>20</v>
      </c>
      <c r="B112" s="21" t="s">
        <v>11</v>
      </c>
      <c r="C112" s="21">
        <v>11</v>
      </c>
      <c r="D112" s="21">
        <v>512</v>
      </c>
      <c r="E112" s="21" t="s">
        <v>44</v>
      </c>
      <c r="F112" s="21">
        <v>9.870000000000001</v>
      </c>
      <c r="G112" s="22">
        <v>400000</v>
      </c>
      <c r="H112" s="23">
        <v>3.4722222222222223</v>
      </c>
      <c r="I112" s="21">
        <v>1777.7777777777778</v>
      </c>
      <c r="J112" s="22">
        <v>4895.5555555555557</v>
      </c>
      <c r="K112" s="23">
        <v>1.1111111111111112</v>
      </c>
      <c r="L112" s="23">
        <v>20.833333333333332</v>
      </c>
      <c r="M112" s="21">
        <v>10666.666666666666</v>
      </c>
      <c r="N112" s="20">
        <v>29373.333333333332</v>
      </c>
      <c r="O112" s="23">
        <v>6.6666666666666661</v>
      </c>
    </row>
    <row r="113" spans="1:15" ht="13" x14ac:dyDescent="0.15">
      <c r="A113" s="21" t="s">
        <v>23</v>
      </c>
      <c r="B113" s="21" t="s">
        <v>11</v>
      </c>
      <c r="C113" s="21">
        <v>15</v>
      </c>
      <c r="D113" s="21">
        <v>512</v>
      </c>
      <c r="E113" s="21" t="s">
        <v>44</v>
      </c>
      <c r="F113" s="21">
        <v>9.870000000000001</v>
      </c>
      <c r="G113" s="22">
        <v>510000</v>
      </c>
      <c r="H113" s="23">
        <v>2.7233115468409586</v>
      </c>
      <c r="I113" s="21">
        <v>1394.3355119825708</v>
      </c>
      <c r="J113" s="22">
        <v>3457.9520697167754</v>
      </c>
      <c r="K113" s="23">
        <v>0.87145969498910669</v>
      </c>
      <c r="L113" s="23">
        <v>16.33986928104575</v>
      </c>
      <c r="M113" s="21">
        <v>8366.0130718954242</v>
      </c>
      <c r="N113" s="20">
        <v>20747.712418300653</v>
      </c>
      <c r="O113" s="23">
        <v>5.2287581699346397</v>
      </c>
    </row>
    <row r="114" spans="1:15" ht="13" x14ac:dyDescent="0.15">
      <c r="A114" s="21" t="s">
        <v>14</v>
      </c>
      <c r="B114" s="21" t="s">
        <v>11</v>
      </c>
      <c r="C114" s="21">
        <v>6</v>
      </c>
      <c r="D114" s="21">
        <v>256</v>
      </c>
      <c r="E114" s="21" t="s">
        <v>44</v>
      </c>
      <c r="F114" s="21">
        <v>19.259999999999998</v>
      </c>
      <c r="G114" s="22">
        <v>260000</v>
      </c>
      <c r="H114" s="23">
        <v>5.3418803418803416</v>
      </c>
      <c r="I114" s="21">
        <v>1367.5213675213674</v>
      </c>
      <c r="J114" s="22">
        <v>5335.0427350427344</v>
      </c>
      <c r="K114" s="23">
        <v>0.85470085470085466</v>
      </c>
      <c r="L114" s="23">
        <v>32.051282051282051</v>
      </c>
      <c r="M114" s="21">
        <v>8205.1282051282051</v>
      </c>
      <c r="N114" s="20">
        <v>32010.25641025641</v>
      </c>
      <c r="O114" s="23">
        <v>5.1282051282051277</v>
      </c>
    </row>
    <row r="115" spans="1:15" ht="13" x14ac:dyDescent="0.15">
      <c r="A115" s="21" t="s">
        <v>20</v>
      </c>
      <c r="B115" s="21" t="s">
        <v>11</v>
      </c>
      <c r="C115" s="21">
        <v>11</v>
      </c>
      <c r="D115" s="21">
        <v>256</v>
      </c>
      <c r="E115" s="21" t="s">
        <v>44</v>
      </c>
      <c r="F115" s="21">
        <v>19.259999999999998</v>
      </c>
      <c r="G115" s="22">
        <v>260000</v>
      </c>
      <c r="H115" s="23">
        <v>5.3418803418803416</v>
      </c>
      <c r="I115" s="21">
        <v>1367.5213675213674</v>
      </c>
      <c r="J115" s="22">
        <v>3765.8119658119658</v>
      </c>
      <c r="K115" s="23">
        <v>0.85470085470085466</v>
      </c>
      <c r="L115" s="23">
        <v>32.051282051282051</v>
      </c>
      <c r="M115" s="21">
        <v>8205.1282051282051</v>
      </c>
      <c r="N115" s="20">
        <v>22594.871794871797</v>
      </c>
      <c r="O115" s="23">
        <v>5.1282051282051277</v>
      </c>
    </row>
  </sheetData>
  <mergeCells count="2"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Results</vt:lpstr>
      <vt:lpstr>DLRM-A 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Hsia</cp:lastModifiedBy>
  <dcterms:modified xsi:type="dcterms:W3CDTF">2024-04-03T14:20:47Z</dcterms:modified>
</cp:coreProperties>
</file>