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ikshasarda/Documents/Financial Modelling/"/>
    </mc:Choice>
  </mc:AlternateContent>
  <xr:revisionPtr revIDLastSave="0" documentId="13_ncr:1_{68E63FB0-E7B9-0E43-B138-4F4B7913D2F0}" xr6:coauthVersionLast="47" xr6:coauthVersionMax="47" xr10:uidLastSave="{00000000-0000-0000-0000-000000000000}"/>
  <bookViews>
    <workbookView xWindow="0" yWindow="500" windowWidth="28800" windowHeight="16400" firstSheet="1" activeTab="7" xr2:uid="{5ECF019B-D745-4453-A5C5-3DCD8AB4A758}"/>
  </bookViews>
  <sheets>
    <sheet name="DCF&gt;" sheetId="5" r:id="rId1"/>
    <sheet name="WACC" sheetId="1" r:id="rId2"/>
    <sheet name="Data&gt;" sheetId="6" r:id="rId3"/>
    <sheet name="Beta - Regression" sheetId="7" r:id="rId4"/>
    <sheet name="Beta - Comps" sheetId="8" r:id="rId5"/>
    <sheet name="Rm" sheetId="9" r:id="rId6"/>
    <sheet name="Intrisic Growth" sheetId="14" r:id="rId7"/>
    <sheet name="DCF" sheetId="15" r:id="rId8"/>
    <sheet name="HistoricalFS" sheetId="10" r:id="rId9"/>
    <sheet name="Data Room&gt;" sheetId="12" r:id="rId10"/>
    <sheet name="Data Sheet" sheetId="11" r:id="rId11"/>
    <sheet name="Raw FS" sheetId="13" r:id="rId12"/>
  </sheets>
  <definedNames>
    <definedName name="_xlnm._FilterDatabase" localSheetId="3" hidden="1">'Beta - Regression'!$B$10:$D$115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"01/26/2023 09:21:20"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UPDATE">'Data Sheet'!$E$1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5" l="1"/>
  <c r="E41" i="15"/>
  <c r="E30" i="15"/>
  <c r="G14" i="15"/>
  <c r="H14" i="15" s="1"/>
  <c r="I14" i="15" s="1"/>
  <c r="J14" i="15" s="1"/>
  <c r="K14" i="15" s="1"/>
  <c r="G10" i="15"/>
  <c r="H10" i="15" s="1"/>
  <c r="I10" i="15" s="1"/>
  <c r="J10" i="15" s="1"/>
  <c r="K10" i="15" s="1"/>
  <c r="F6" i="15"/>
  <c r="G6" i="15" s="1"/>
  <c r="H6" i="15" s="1"/>
  <c r="I6" i="15" s="1"/>
  <c r="J6" i="15" s="1"/>
  <c r="K6" i="15" s="1"/>
  <c r="K59" i="14" l="1"/>
  <c r="J59" i="14"/>
  <c r="I59" i="14"/>
  <c r="H59" i="14"/>
  <c r="G59" i="14"/>
  <c r="K45" i="14"/>
  <c r="J45" i="14"/>
  <c r="I45" i="14"/>
  <c r="H45" i="14"/>
  <c r="G45" i="14"/>
  <c r="K43" i="14"/>
  <c r="J43" i="14"/>
  <c r="I43" i="14"/>
  <c r="H43" i="14"/>
  <c r="G43" i="14"/>
  <c r="K6" i="14"/>
  <c r="J6" i="14"/>
  <c r="I6" i="14"/>
  <c r="H6" i="14"/>
  <c r="G6" i="14"/>
  <c r="K34" i="14"/>
  <c r="J34" i="14"/>
  <c r="I34" i="14"/>
  <c r="H34" i="14"/>
  <c r="G34" i="14"/>
  <c r="K31" i="14"/>
  <c r="J31" i="14"/>
  <c r="I31" i="14"/>
  <c r="H31" i="14"/>
  <c r="G31" i="14"/>
  <c r="K30" i="14"/>
  <c r="J30" i="14"/>
  <c r="I30" i="14"/>
  <c r="H30" i="14"/>
  <c r="G30" i="14"/>
  <c r="K29" i="14"/>
  <c r="J29" i="14"/>
  <c r="I29" i="14"/>
  <c r="H29" i="14"/>
  <c r="G29" i="14"/>
  <c r="K28" i="14"/>
  <c r="J28" i="14"/>
  <c r="I28" i="14"/>
  <c r="H28" i="14"/>
  <c r="G28" i="14"/>
  <c r="K27" i="14"/>
  <c r="J27" i="14"/>
  <c r="I27" i="14"/>
  <c r="H27" i="14"/>
  <c r="G27" i="14"/>
  <c r="K26" i="14"/>
  <c r="J26" i="14"/>
  <c r="I26" i="14"/>
  <c r="H26" i="14"/>
  <c r="G26" i="14"/>
  <c r="K25" i="14"/>
  <c r="J25" i="14"/>
  <c r="I25" i="14"/>
  <c r="H25" i="14"/>
  <c r="G25" i="14"/>
  <c r="K24" i="14"/>
  <c r="J24" i="14"/>
  <c r="I24" i="14"/>
  <c r="H24" i="14"/>
  <c r="G24" i="14"/>
  <c r="B25" i="14"/>
  <c r="B26" i="14"/>
  <c r="B27" i="14"/>
  <c r="B28" i="14"/>
  <c r="B29" i="14"/>
  <c r="B30" i="14"/>
  <c r="B31" i="14"/>
  <c r="B24" i="14"/>
  <c r="K18" i="14"/>
  <c r="J18" i="14"/>
  <c r="I18" i="14"/>
  <c r="H18" i="14"/>
  <c r="G18" i="14"/>
  <c r="K17" i="14"/>
  <c r="J17" i="14"/>
  <c r="I17" i="14"/>
  <c r="H17" i="14"/>
  <c r="G17" i="14"/>
  <c r="K16" i="14"/>
  <c r="J16" i="14"/>
  <c r="I16" i="14"/>
  <c r="H16" i="14"/>
  <c r="G16" i="14"/>
  <c r="B18" i="14"/>
  <c r="B17" i="14"/>
  <c r="B16" i="14"/>
  <c r="K12" i="14"/>
  <c r="J12" i="14"/>
  <c r="I12" i="14"/>
  <c r="H12" i="14"/>
  <c r="G12" i="14"/>
  <c r="K11" i="14"/>
  <c r="J11" i="14"/>
  <c r="I11" i="14"/>
  <c r="H11" i="14"/>
  <c r="G11" i="14"/>
  <c r="K10" i="14"/>
  <c r="J10" i="14"/>
  <c r="I10" i="14"/>
  <c r="H10" i="14"/>
  <c r="G10" i="14"/>
  <c r="K9" i="14"/>
  <c r="J9" i="14"/>
  <c r="I9" i="14"/>
  <c r="H9" i="14"/>
  <c r="G9" i="14"/>
  <c r="B12" i="14"/>
  <c r="B11" i="14"/>
  <c r="B10" i="14"/>
  <c r="B9" i="14"/>
  <c r="N29" i="13"/>
  <c r="M29" i="13"/>
  <c r="L29" i="13"/>
  <c r="K29" i="13"/>
  <c r="J29" i="13"/>
  <c r="I29" i="13"/>
  <c r="H29" i="13"/>
  <c r="G29" i="13"/>
  <c r="F29" i="13"/>
  <c r="E29" i="13"/>
  <c r="D29" i="13"/>
  <c r="C29" i="13"/>
  <c r="K73" i="11"/>
  <c r="J73" i="11"/>
  <c r="I73" i="11"/>
  <c r="H73" i="11"/>
  <c r="K51" i="11"/>
  <c r="J51" i="11"/>
  <c r="I51" i="11"/>
  <c r="H51" i="11"/>
  <c r="G51" i="11"/>
  <c r="F51" i="11"/>
  <c r="E51" i="11"/>
  <c r="D51" i="11"/>
  <c r="C51" i="11"/>
  <c r="B51" i="11"/>
  <c r="K34" i="11"/>
  <c r="F8" i="15" s="1"/>
  <c r="J34" i="11"/>
  <c r="I34" i="11"/>
  <c r="H34" i="11"/>
  <c r="G34" i="11"/>
  <c r="F34" i="11"/>
  <c r="E34" i="11"/>
  <c r="D34" i="11"/>
  <c r="C34" i="11"/>
  <c r="B34" i="11"/>
  <c r="B15" i="11" s="1"/>
  <c r="K32" i="11"/>
  <c r="J32" i="11"/>
  <c r="I32" i="11"/>
  <c r="H32" i="11"/>
  <c r="G32" i="11"/>
  <c r="F32" i="11"/>
  <c r="E32" i="11"/>
  <c r="D32" i="11"/>
  <c r="C32" i="11"/>
  <c r="B32" i="11"/>
  <c r="K15" i="11"/>
  <c r="B6" i="11"/>
  <c r="E44" i="15" s="1"/>
  <c r="E1" i="11"/>
  <c r="L74" i="10"/>
  <c r="K74" i="10"/>
  <c r="J74" i="10"/>
  <c r="I74" i="10"/>
  <c r="H74" i="10"/>
  <c r="G74" i="10"/>
  <c r="F74" i="10"/>
  <c r="E74" i="10"/>
  <c r="D74" i="10"/>
  <c r="C74" i="10"/>
  <c r="L72" i="10"/>
  <c r="K72" i="10"/>
  <c r="J72" i="10"/>
  <c r="I72" i="10"/>
  <c r="H72" i="10"/>
  <c r="G72" i="10"/>
  <c r="F72" i="10"/>
  <c r="E72" i="10"/>
  <c r="D72" i="10"/>
  <c r="C72" i="10"/>
  <c r="L70" i="10"/>
  <c r="K70" i="10"/>
  <c r="J70" i="10"/>
  <c r="I70" i="10"/>
  <c r="H70" i="10"/>
  <c r="G70" i="10"/>
  <c r="G76" i="10" s="1"/>
  <c r="F70" i="10"/>
  <c r="E70" i="10"/>
  <c r="D70" i="10"/>
  <c r="C70" i="10"/>
  <c r="L61" i="10"/>
  <c r="K61" i="10"/>
  <c r="J61" i="10"/>
  <c r="I61" i="10"/>
  <c r="H61" i="10"/>
  <c r="G61" i="10"/>
  <c r="F61" i="10"/>
  <c r="E61" i="10"/>
  <c r="D61" i="10"/>
  <c r="C61" i="10"/>
  <c r="L60" i="10"/>
  <c r="K60" i="10"/>
  <c r="J60" i="10"/>
  <c r="I60" i="10"/>
  <c r="H60" i="10"/>
  <c r="G60" i="10"/>
  <c r="F60" i="10"/>
  <c r="E60" i="10"/>
  <c r="D60" i="10"/>
  <c r="D62" i="10" s="1"/>
  <c r="C60" i="10"/>
  <c r="L59" i="10"/>
  <c r="K59" i="10"/>
  <c r="J59" i="10"/>
  <c r="I59" i="10"/>
  <c r="H59" i="10"/>
  <c r="G59" i="10"/>
  <c r="G62" i="10" s="1"/>
  <c r="F59" i="10"/>
  <c r="E59" i="10"/>
  <c r="D59" i="10"/>
  <c r="C59" i="10"/>
  <c r="L56" i="10"/>
  <c r="K56" i="10"/>
  <c r="J56" i="10"/>
  <c r="I56" i="10"/>
  <c r="H56" i="10"/>
  <c r="G56" i="10"/>
  <c r="F56" i="10"/>
  <c r="E56" i="10"/>
  <c r="D56" i="10"/>
  <c r="C56" i="10"/>
  <c r="L55" i="10"/>
  <c r="K55" i="10"/>
  <c r="J55" i="10"/>
  <c r="I55" i="10"/>
  <c r="H55" i="10"/>
  <c r="G55" i="10"/>
  <c r="F55" i="10"/>
  <c r="E55" i="10"/>
  <c r="D55" i="10"/>
  <c r="C55" i="10"/>
  <c r="L54" i="10"/>
  <c r="K54" i="10"/>
  <c r="J54" i="10"/>
  <c r="I54" i="10"/>
  <c r="H54" i="10"/>
  <c r="G54" i="10"/>
  <c r="F54" i="10"/>
  <c r="E54" i="10"/>
  <c r="D54" i="10"/>
  <c r="C54" i="10"/>
  <c r="L53" i="10"/>
  <c r="K53" i="10"/>
  <c r="J53" i="10"/>
  <c r="I53" i="10"/>
  <c r="H53" i="10"/>
  <c r="G53" i="10"/>
  <c r="F53" i="10"/>
  <c r="F57" i="10" s="1"/>
  <c r="E53" i="10"/>
  <c r="D53" i="10"/>
  <c r="C53" i="10"/>
  <c r="L51" i="10"/>
  <c r="K51" i="10"/>
  <c r="J51" i="10"/>
  <c r="I51" i="10"/>
  <c r="H51" i="10"/>
  <c r="G51" i="10"/>
  <c r="F51" i="10"/>
  <c r="E51" i="10"/>
  <c r="D51" i="10"/>
  <c r="C51" i="10"/>
  <c r="L50" i="10"/>
  <c r="K50" i="10"/>
  <c r="J50" i="10"/>
  <c r="I50" i="10"/>
  <c r="H50" i="10"/>
  <c r="G50" i="10"/>
  <c r="F50" i="10"/>
  <c r="E50" i="10"/>
  <c r="D50" i="10"/>
  <c r="C50" i="10"/>
  <c r="L49" i="10"/>
  <c r="K49" i="10"/>
  <c r="J49" i="10"/>
  <c r="I49" i="10"/>
  <c r="H49" i="10"/>
  <c r="G49" i="10"/>
  <c r="F49" i="10"/>
  <c r="E49" i="10"/>
  <c r="D49" i="10"/>
  <c r="C49" i="10"/>
  <c r="L48" i="10"/>
  <c r="K48" i="10"/>
  <c r="J48" i="10"/>
  <c r="I48" i="10"/>
  <c r="H48" i="10"/>
  <c r="G48" i="10"/>
  <c r="F48" i="10"/>
  <c r="E48" i="10"/>
  <c r="D48" i="10"/>
  <c r="C48" i="10"/>
  <c r="L47" i="10"/>
  <c r="K47" i="10"/>
  <c r="J47" i="10"/>
  <c r="I47" i="10"/>
  <c r="H47" i="10"/>
  <c r="G47" i="10"/>
  <c r="F47" i="10"/>
  <c r="E47" i="10"/>
  <c r="D47" i="10"/>
  <c r="C47" i="10"/>
  <c r="L36" i="10"/>
  <c r="M36" i="10" s="1"/>
  <c r="M41" i="10" s="1"/>
  <c r="K36" i="10"/>
  <c r="K41" i="10" s="1"/>
  <c r="J36" i="10"/>
  <c r="J41" i="10" s="1"/>
  <c r="I36" i="10"/>
  <c r="I41" i="10" s="1"/>
  <c r="H36" i="10"/>
  <c r="H41" i="10" s="1"/>
  <c r="G36" i="10"/>
  <c r="G41" i="10" s="1"/>
  <c r="F36" i="10"/>
  <c r="F41" i="10" s="1"/>
  <c r="E36" i="10"/>
  <c r="E41" i="10" s="1"/>
  <c r="D36" i="10"/>
  <c r="D41" i="10" s="1"/>
  <c r="C36" i="10"/>
  <c r="C41" i="10" s="1"/>
  <c r="M30" i="10"/>
  <c r="L30" i="10"/>
  <c r="K30" i="10"/>
  <c r="J30" i="10"/>
  <c r="I30" i="10"/>
  <c r="H30" i="10"/>
  <c r="G30" i="10"/>
  <c r="F30" i="10"/>
  <c r="E30" i="10"/>
  <c r="D30" i="10"/>
  <c r="C30" i="10"/>
  <c r="M24" i="10"/>
  <c r="L24" i="10"/>
  <c r="K24" i="10"/>
  <c r="J24" i="10"/>
  <c r="I24" i="10"/>
  <c r="H24" i="10"/>
  <c r="H25" i="10" s="1"/>
  <c r="G24" i="10"/>
  <c r="F24" i="10"/>
  <c r="E24" i="10"/>
  <c r="D24" i="10"/>
  <c r="C24" i="10"/>
  <c r="M21" i="10"/>
  <c r="L21" i="10"/>
  <c r="K21" i="10"/>
  <c r="J21" i="10"/>
  <c r="I21" i="10"/>
  <c r="H21" i="10"/>
  <c r="G21" i="10"/>
  <c r="F21" i="10"/>
  <c r="E21" i="10"/>
  <c r="D21" i="10"/>
  <c r="C21" i="10"/>
  <c r="M18" i="10"/>
  <c r="L15" i="10"/>
  <c r="K15" i="10"/>
  <c r="K16" i="10" s="1"/>
  <c r="J15" i="10"/>
  <c r="J16" i="10" s="1"/>
  <c r="I15" i="10"/>
  <c r="H15" i="10"/>
  <c r="G15" i="10"/>
  <c r="F15" i="10"/>
  <c r="E15" i="10"/>
  <c r="D15" i="10"/>
  <c r="C15" i="10"/>
  <c r="C16" i="10" s="1"/>
  <c r="M9" i="10"/>
  <c r="L9" i="10"/>
  <c r="K9" i="10"/>
  <c r="J9" i="10"/>
  <c r="I9" i="10"/>
  <c r="I10" i="10" s="1"/>
  <c r="H9" i="10"/>
  <c r="H10" i="10" s="1"/>
  <c r="G9" i="10"/>
  <c r="F9" i="10"/>
  <c r="E9" i="10"/>
  <c r="D9" i="10"/>
  <c r="C9" i="10"/>
  <c r="K7" i="10"/>
  <c r="M6" i="10"/>
  <c r="L6" i="10"/>
  <c r="L12" i="10" s="1"/>
  <c r="K6" i="10"/>
  <c r="J6" i="10"/>
  <c r="I6" i="10"/>
  <c r="H6" i="10"/>
  <c r="G6" i="10"/>
  <c r="G12" i="10" s="1"/>
  <c r="F6" i="10"/>
  <c r="F10" i="10" s="1"/>
  <c r="E6" i="10"/>
  <c r="D6" i="10"/>
  <c r="D12" i="10" s="1"/>
  <c r="C6" i="10"/>
  <c r="L3" i="10"/>
  <c r="K3" i="10"/>
  <c r="J3" i="10"/>
  <c r="I3" i="10"/>
  <c r="H3" i="10"/>
  <c r="G3" i="10"/>
  <c r="F3" i="10"/>
  <c r="E3" i="10"/>
  <c r="D3" i="10"/>
  <c r="C3" i="10"/>
  <c r="B2" i="10"/>
  <c r="M19" i="10" l="1"/>
  <c r="I76" i="10"/>
  <c r="M22" i="10"/>
  <c r="G22" i="10"/>
  <c r="E22" i="10"/>
  <c r="K76" i="10"/>
  <c r="D76" i="10"/>
  <c r="G8" i="15"/>
  <c r="F12" i="15"/>
  <c r="F16" i="15" s="1"/>
  <c r="F22" i="10"/>
  <c r="I62" i="10"/>
  <c r="C76" i="10"/>
  <c r="I7" i="10"/>
  <c r="D25" i="10"/>
  <c r="L25" i="10"/>
  <c r="J57" i="10"/>
  <c r="J64" i="10" s="1"/>
  <c r="J66" i="10" s="1"/>
  <c r="J62" i="10"/>
  <c r="L76" i="10"/>
  <c r="J12" i="10"/>
  <c r="J18" i="10" s="1"/>
  <c r="C57" i="10"/>
  <c r="K57" i="10"/>
  <c r="I57" i="10"/>
  <c r="I64" i="10" s="1"/>
  <c r="I66" i="10" s="1"/>
  <c r="K62" i="10"/>
  <c r="K64" i="10" s="1"/>
  <c r="K66" i="10" s="1"/>
  <c r="E76" i="10"/>
  <c r="C12" i="10"/>
  <c r="C18" i="10" s="1"/>
  <c r="K12" i="10"/>
  <c r="K18" i="10" s="1"/>
  <c r="K19" i="10" s="1"/>
  <c r="D57" i="10"/>
  <c r="L57" i="10"/>
  <c r="G10" i="10"/>
  <c r="I16" i="10"/>
  <c r="C22" i="10"/>
  <c r="K22" i="10"/>
  <c r="F25" i="10"/>
  <c r="H62" i="10"/>
  <c r="J76" i="10"/>
  <c r="E12" i="10"/>
  <c r="E18" i="10" s="1"/>
  <c r="D7" i="10"/>
  <c r="D22" i="10"/>
  <c r="L22" i="10"/>
  <c r="G25" i="10"/>
  <c r="I25" i="10"/>
  <c r="H12" i="10"/>
  <c r="L7" i="10"/>
  <c r="J10" i="10"/>
  <c r="D16" i="10"/>
  <c r="L16" i="10"/>
  <c r="C10" i="10"/>
  <c r="K10" i="10"/>
  <c r="E16" i="10"/>
  <c r="J25" i="10"/>
  <c r="E57" i="10"/>
  <c r="L62" i="10"/>
  <c r="L64" i="10" s="1"/>
  <c r="L66" i="10" s="1"/>
  <c r="F76" i="10"/>
  <c r="J7" i="10"/>
  <c r="D10" i="10"/>
  <c r="L10" i="10"/>
  <c r="F16" i="10"/>
  <c r="H22" i="10"/>
  <c r="C25" i="10"/>
  <c r="K25" i="10"/>
  <c r="E62" i="10"/>
  <c r="I33" i="14"/>
  <c r="I35" i="14" s="1"/>
  <c r="G16" i="10"/>
  <c r="I22" i="10"/>
  <c r="G57" i="10"/>
  <c r="G64" i="10" s="1"/>
  <c r="G66" i="10" s="1"/>
  <c r="F62" i="10"/>
  <c r="F64" i="10" s="1"/>
  <c r="F66" i="10" s="1"/>
  <c r="H76" i="10"/>
  <c r="M27" i="10"/>
  <c r="M33" i="10" s="1"/>
  <c r="M34" i="10" s="1"/>
  <c r="H16" i="10"/>
  <c r="J22" i="10"/>
  <c r="E25" i="10"/>
  <c r="M25" i="10"/>
  <c r="H57" i="10"/>
  <c r="C62" i="10"/>
  <c r="C64" i="10" s="1"/>
  <c r="C66" i="10" s="1"/>
  <c r="G33" i="14"/>
  <c r="G35" i="14" s="1"/>
  <c r="H33" i="14"/>
  <c r="H35" i="14" s="1"/>
  <c r="J33" i="14"/>
  <c r="J35" i="14" s="1"/>
  <c r="K33" i="14"/>
  <c r="K35" i="14" s="1"/>
  <c r="H13" i="14"/>
  <c r="G13" i="14"/>
  <c r="I13" i="14"/>
  <c r="I19" i="14"/>
  <c r="G19" i="14"/>
  <c r="J13" i="14"/>
  <c r="K13" i="14"/>
  <c r="J19" i="14"/>
  <c r="H19" i="14"/>
  <c r="K19" i="14"/>
  <c r="D64" i="10"/>
  <c r="D66" i="10" s="1"/>
  <c r="D18" i="10"/>
  <c r="D13" i="10"/>
  <c r="L18" i="10"/>
  <c r="L13" i="10"/>
  <c r="C27" i="10"/>
  <c r="C19" i="10"/>
  <c r="E13" i="10"/>
  <c r="J19" i="10"/>
  <c r="J27" i="10"/>
  <c r="I38" i="14" s="1"/>
  <c r="I48" i="14" s="1"/>
  <c r="I50" i="14" s="1"/>
  <c r="K27" i="10"/>
  <c r="J38" i="14" s="1"/>
  <c r="J48" i="14" s="1"/>
  <c r="J50" i="14" s="1"/>
  <c r="G13" i="10"/>
  <c r="G18" i="10"/>
  <c r="H13" i="10"/>
  <c r="H18" i="10"/>
  <c r="C31" i="10"/>
  <c r="E10" i="10"/>
  <c r="L41" i="10"/>
  <c r="I12" i="10"/>
  <c r="E7" i="10"/>
  <c r="M7" i="10"/>
  <c r="F7" i="10"/>
  <c r="M12" i="10"/>
  <c r="M13" i="10" s="1"/>
  <c r="J13" i="10"/>
  <c r="M16" i="10"/>
  <c r="G7" i="10"/>
  <c r="F12" i="10"/>
  <c r="C13" i="10"/>
  <c r="K13" i="10"/>
  <c r="M10" i="10"/>
  <c r="H7" i="10"/>
  <c r="K31" i="10" l="1"/>
  <c r="M28" i="10"/>
  <c r="H8" i="15"/>
  <c r="G12" i="15"/>
  <c r="G16" i="15" s="1"/>
  <c r="H64" i="10"/>
  <c r="H66" i="10" s="1"/>
  <c r="M38" i="10"/>
  <c r="M31" i="10"/>
  <c r="E64" i="10"/>
  <c r="E66" i="10" s="1"/>
  <c r="K21" i="14"/>
  <c r="H21" i="14"/>
  <c r="G21" i="14"/>
  <c r="G37" i="14" s="1"/>
  <c r="J21" i="14"/>
  <c r="I21" i="14"/>
  <c r="F18" i="10"/>
  <c r="F13" i="10"/>
  <c r="I18" i="10"/>
  <c r="I13" i="10"/>
  <c r="H19" i="10"/>
  <c r="H27" i="10"/>
  <c r="G38" i="14" s="1"/>
  <c r="G48" i="14" s="1"/>
  <c r="G50" i="14" s="1"/>
  <c r="G19" i="10"/>
  <c r="G27" i="10"/>
  <c r="J33" i="10"/>
  <c r="J28" i="10"/>
  <c r="C28" i="10"/>
  <c r="C33" i="10"/>
  <c r="E27" i="10"/>
  <c r="E19" i="10"/>
  <c r="L19" i="10"/>
  <c r="L27" i="10"/>
  <c r="K38" i="14" s="1"/>
  <c r="K48" i="14" s="1"/>
  <c r="K50" i="14" s="1"/>
  <c r="J31" i="10"/>
  <c r="K33" i="10"/>
  <c r="K28" i="10"/>
  <c r="D27" i="10"/>
  <c r="D19" i="10"/>
  <c r="G40" i="14" l="1"/>
  <c r="I8" i="15"/>
  <c r="H12" i="15"/>
  <c r="H16" i="15" s="1"/>
  <c r="M42" i="10"/>
  <c r="M44" i="10" s="1"/>
  <c r="I46" i="14"/>
  <c r="I52" i="14" s="1"/>
  <c r="I54" i="14" s="1"/>
  <c r="I61" i="14" s="1"/>
  <c r="I37" i="14"/>
  <c r="I40" i="14" s="1"/>
  <c r="I62" i="14" s="1"/>
  <c r="J46" i="14"/>
  <c r="J52" i="14" s="1"/>
  <c r="J54" i="14" s="1"/>
  <c r="J61" i="14" s="1"/>
  <c r="J37" i="14"/>
  <c r="J40" i="14" s="1"/>
  <c r="J62" i="14" s="1"/>
  <c r="H46" i="14"/>
  <c r="H52" i="14" s="1"/>
  <c r="H37" i="14"/>
  <c r="K46" i="14"/>
  <c r="K52" i="14" s="1"/>
  <c r="K54" i="14" s="1"/>
  <c r="K61" i="14" s="1"/>
  <c r="K37" i="14"/>
  <c r="K40" i="14" s="1"/>
  <c r="K62" i="14" s="1"/>
  <c r="E33" i="10"/>
  <c r="E28" i="10"/>
  <c r="E31" i="10"/>
  <c r="C34" i="10"/>
  <c r="C38" i="10"/>
  <c r="J34" i="10"/>
  <c r="J38" i="10"/>
  <c r="D33" i="10"/>
  <c r="D28" i="10"/>
  <c r="D31" i="10"/>
  <c r="H28" i="10"/>
  <c r="H33" i="10"/>
  <c r="H31" i="10"/>
  <c r="K34" i="10"/>
  <c r="K38" i="10"/>
  <c r="I19" i="10"/>
  <c r="I27" i="10"/>
  <c r="H38" i="14" s="1"/>
  <c r="H48" i="14" s="1"/>
  <c r="H50" i="14" s="1"/>
  <c r="G33" i="10"/>
  <c r="G28" i="10"/>
  <c r="G31" i="10"/>
  <c r="L33" i="10"/>
  <c r="L28" i="10"/>
  <c r="L31" i="10"/>
  <c r="F19" i="10"/>
  <c r="F27" i="10"/>
  <c r="J8" i="15" l="1"/>
  <c r="I12" i="15"/>
  <c r="I16" i="15" s="1"/>
  <c r="K64" i="14"/>
  <c r="J64" i="14"/>
  <c r="H40" i="14"/>
  <c r="H62" i="14" s="1"/>
  <c r="H54" i="14"/>
  <c r="H61" i="14" s="1"/>
  <c r="H64" i="14" s="1"/>
  <c r="I64" i="14"/>
  <c r="L34" i="10"/>
  <c r="L38" i="10"/>
  <c r="C44" i="10"/>
  <c r="C42" i="10"/>
  <c r="H34" i="10"/>
  <c r="H38" i="10"/>
  <c r="G34" i="10"/>
  <c r="G38" i="10"/>
  <c r="F33" i="10"/>
  <c r="F28" i="10"/>
  <c r="F31" i="10"/>
  <c r="I33" i="10"/>
  <c r="I28" i="10"/>
  <c r="I31" i="10"/>
  <c r="E38" i="10"/>
  <c r="E34" i="10"/>
  <c r="D34" i="10"/>
  <c r="D38" i="10"/>
  <c r="K44" i="10"/>
  <c r="K39" i="10"/>
  <c r="K42" i="10"/>
  <c r="J42" i="10"/>
  <c r="J44" i="10" s="1"/>
  <c r="K57" i="14" l="1"/>
  <c r="K56" i="14"/>
  <c r="K8" i="15"/>
  <c r="K12" i="15" s="1"/>
  <c r="K16" i="15" s="1"/>
  <c r="J12" i="15"/>
  <c r="J16" i="15" s="1"/>
  <c r="K67" i="14"/>
  <c r="K66" i="14"/>
  <c r="D39" i="10"/>
  <c r="D42" i="10"/>
  <c r="D44" i="10" s="1"/>
  <c r="F38" i="10"/>
  <c r="G39" i="10" s="1"/>
  <c r="F34" i="10"/>
  <c r="H39" i="10"/>
  <c r="H42" i="10"/>
  <c r="H44" i="10" s="1"/>
  <c r="L39" i="10"/>
  <c r="M39" i="10"/>
  <c r="L42" i="10"/>
  <c r="L44" i="10" s="1"/>
  <c r="G42" i="10"/>
  <c r="G44" i="10" s="1"/>
  <c r="E39" i="10"/>
  <c r="E42" i="10"/>
  <c r="E44" i="10" s="1"/>
  <c r="I34" i="10"/>
  <c r="I38" i="10"/>
  <c r="E28" i="15" l="1"/>
  <c r="I39" i="10"/>
  <c r="I42" i="10"/>
  <c r="I44" i="10" s="1"/>
  <c r="J39" i="10"/>
  <c r="F39" i="10"/>
  <c r="F42" i="10"/>
  <c r="F44" i="10" s="1"/>
  <c r="E26" i="1" l="1"/>
  <c r="G9" i="9"/>
  <c r="G11" i="9" s="1"/>
  <c r="J27" i="1" s="1"/>
  <c r="E15" i="1"/>
  <c r="E16" i="1"/>
  <c r="H16" i="1" s="1"/>
  <c r="E17" i="1"/>
  <c r="E18" i="1"/>
  <c r="E14" i="1"/>
  <c r="D15" i="1"/>
  <c r="D16" i="1"/>
  <c r="D17" i="1"/>
  <c r="D18" i="1"/>
  <c r="D14" i="1"/>
  <c r="C35" i="1" s="1"/>
  <c r="M11" i="7"/>
  <c r="J10" i="7" s="1"/>
  <c r="J16" i="7" s="1"/>
  <c r="G17" i="1" l="1"/>
  <c r="J17" i="1" s="1"/>
  <c r="G16" i="1"/>
  <c r="J16" i="1" s="1"/>
  <c r="G18" i="1"/>
  <c r="J18" i="1" s="1"/>
  <c r="G15" i="1"/>
  <c r="J15" i="1" s="1"/>
  <c r="G14" i="1"/>
  <c r="H14" i="1"/>
  <c r="H15" i="1"/>
  <c r="H17" i="1"/>
  <c r="H18" i="1"/>
  <c r="C36" i="1"/>
  <c r="C37" i="1" s="1"/>
  <c r="D37" i="1" s="1"/>
  <c r="E37" i="1" s="1"/>
  <c r="I14" i="1"/>
  <c r="J14" i="1" s="1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I21" i="1"/>
  <c r="F21" i="1"/>
  <c r="E27" i="1" s="1"/>
  <c r="E28" i="1" s="1"/>
  <c r="J44" i="1" s="1"/>
  <c r="I20" i="1"/>
  <c r="F20" i="1"/>
  <c r="J36" i="1" l="1"/>
  <c r="M9" i="7"/>
  <c r="M8" i="7"/>
  <c r="H21" i="1"/>
  <c r="D35" i="1"/>
  <c r="D36" i="1"/>
  <c r="G21" i="1"/>
  <c r="H20" i="1"/>
  <c r="E35" i="1" s="1"/>
  <c r="J45" i="1" s="1"/>
  <c r="J20" i="1"/>
  <c r="J21" i="1"/>
  <c r="J34" i="1" s="1"/>
  <c r="G20" i="1"/>
  <c r="E36" i="1" l="1"/>
  <c r="D39" i="1"/>
  <c r="E39" i="1" l="1"/>
  <c r="J35" i="1" s="1"/>
  <c r="J37" i="1" s="1"/>
  <c r="J28" i="1" s="1"/>
  <c r="J29" i="1" s="1"/>
  <c r="J41" i="1" s="1"/>
  <c r="J42" i="1"/>
  <c r="J47" i="1" l="1"/>
  <c r="E29" i="15" s="1"/>
  <c r="F18" i="15" l="1"/>
  <c r="F20" i="15" s="1"/>
  <c r="H18" i="15"/>
  <c r="H20" i="15" s="1"/>
  <c r="I18" i="15"/>
  <c r="I20" i="15" s="1"/>
  <c r="J18" i="15"/>
  <c r="J20" i="15" s="1"/>
  <c r="G18" i="15"/>
  <c r="G20" i="15" s="1"/>
  <c r="K18" i="15"/>
  <c r="K20" i="15" s="1"/>
  <c r="E32" i="15"/>
  <c r="E38" i="15" s="1"/>
  <c r="E37" i="15" l="1"/>
  <c r="E39" i="15" s="1"/>
  <c r="E43" i="15" s="1"/>
  <c r="E45" i="15" s="1"/>
</calcChain>
</file>

<file path=xl/sharedStrings.xml><?xml version="1.0" encoding="utf-8"?>
<sst xmlns="http://schemas.openxmlformats.org/spreadsheetml/2006/main" count="365" uniqueCount="286">
  <si>
    <t>Weighted Average Cost of Capital</t>
  </si>
  <si>
    <t>All figures are in INR unless stated otherwise.</t>
  </si>
  <si>
    <t>Peer Comps</t>
  </si>
  <si>
    <t>Name</t>
  </si>
  <si>
    <t>Country</t>
  </si>
  <si>
    <t>Total Debt</t>
  </si>
  <si>
    <t>Total Equity</t>
  </si>
  <si>
    <t>Average</t>
  </si>
  <si>
    <t>Debt/</t>
  </si>
  <si>
    <t>Equity</t>
  </si>
  <si>
    <t>Levered</t>
  </si>
  <si>
    <r>
      <t xml:space="preserve">Tax Rate </t>
    </r>
    <r>
      <rPr>
        <vertAlign val="superscript"/>
        <sz val="11"/>
        <color theme="1"/>
        <rFont val="Calibri"/>
        <family val="2"/>
      </rPr>
      <t>1</t>
    </r>
  </si>
  <si>
    <r>
      <t xml:space="preserve">Beta </t>
    </r>
    <r>
      <rPr>
        <vertAlign val="superscript"/>
        <sz val="11"/>
        <color theme="1"/>
        <rFont val="Calibri"/>
        <family val="2"/>
      </rPr>
      <t>2</t>
    </r>
  </si>
  <si>
    <t>Unlevered</t>
  </si>
  <si>
    <r>
      <t xml:space="preserve">Beta </t>
    </r>
    <r>
      <rPr>
        <vertAlign val="superscript"/>
        <sz val="11"/>
        <color theme="1"/>
        <rFont val="Calibri"/>
        <family val="2"/>
      </rPr>
      <t>3</t>
    </r>
  </si>
  <si>
    <t>India</t>
  </si>
  <si>
    <t>Capital</t>
  </si>
  <si>
    <t>Median</t>
  </si>
  <si>
    <t>Capital Structure</t>
  </si>
  <si>
    <t>Market Capitalization</t>
  </si>
  <si>
    <t>Total Capitalization</t>
  </si>
  <si>
    <t>Current</t>
  </si>
  <si>
    <t>Target</t>
  </si>
  <si>
    <t>Cost of Equity</t>
  </si>
  <si>
    <t>Risk Free Rate</t>
  </si>
  <si>
    <t>Equity Risk Premium</t>
  </si>
  <si>
    <t>Levered Beta</t>
  </si>
  <si>
    <t>Debt / Equity</t>
  </si>
  <si>
    <r>
      <t xml:space="preserve">Levered Beta </t>
    </r>
    <r>
      <rPr>
        <vertAlign val="superscript"/>
        <sz val="11"/>
        <color theme="1"/>
        <rFont val="Calibri"/>
        <family val="2"/>
      </rPr>
      <t>4</t>
    </r>
  </si>
  <si>
    <t>Cost of Debt</t>
  </si>
  <si>
    <t>Pre-tax Cost of Debt</t>
  </si>
  <si>
    <t>Tax Rate</t>
  </si>
  <si>
    <t>After Tax Cost of Debt</t>
  </si>
  <si>
    <t xml:space="preserve">Levered Beta </t>
  </si>
  <si>
    <t>Comps Median Unlevered Beta</t>
  </si>
  <si>
    <t xml:space="preserve">Target Debt/ Equity  </t>
  </si>
  <si>
    <t>1. Tax Rate considered as Marginal Tax Rate for the country</t>
  </si>
  <si>
    <t>2. Levered Beta is based on 5 year monthly data</t>
  </si>
  <si>
    <t xml:space="preserve"> </t>
  </si>
  <si>
    <t>3. Unlevered Beta = Levered Beta/(1+(1-Tax Rate) x Debt/Equity)</t>
  </si>
  <si>
    <t>3. Levered Beta = Unlevered Beta/(1+(1-Tax Rate) x Debt/Equity)</t>
  </si>
  <si>
    <t>Date</t>
  </si>
  <si>
    <t>S.No.</t>
  </si>
  <si>
    <t>CMP Rs.</t>
  </si>
  <si>
    <t>Debt Rs.Cr.</t>
  </si>
  <si>
    <t xml:space="preserve">Mar Cap Rs.Cr. </t>
  </si>
  <si>
    <t>Debt / Eq</t>
  </si>
  <si>
    <t>Avenue Super.</t>
  </si>
  <si>
    <t>Trent</t>
  </si>
  <si>
    <t>Vedant Fashions</t>
  </si>
  <si>
    <t>Aditya Bir. Fas.</t>
  </si>
  <si>
    <t>Metro Brands</t>
  </si>
  <si>
    <t>Closing Price</t>
  </si>
  <si>
    <t>Avenue Supermart Weekly Returns</t>
  </si>
  <si>
    <t>Return</t>
  </si>
  <si>
    <t>NIFTY Returns</t>
  </si>
  <si>
    <t>Beta 1</t>
  </si>
  <si>
    <t>Beta 2</t>
  </si>
  <si>
    <t>Beta 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</si>
  <si>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</si>
  <si>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</si>
  <si>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</si>
  <si>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</si>
  <si>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</si>
  <si>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</si>
  <si>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</si>
  <si>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</si>
  <si>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</si>
  <si>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</si>
  <si>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</si>
  <si>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</si>
  <si>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</si>
  <si>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</si>
  <si>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</si>
  <si>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</si>
  <si>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</si>
  <si>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</si>
  <si>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</si>
  <si>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</si>
  <si>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</si>
  <si>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</si>
  <si>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</si>
  <si>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</si>
  <si>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</si>
  <si>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Beta Drifting</t>
  </si>
  <si>
    <t>Levered Raw Beta</t>
  </si>
  <si>
    <t>Raw Beta Weight</t>
  </si>
  <si>
    <t>Market Beta Weight</t>
  </si>
  <si>
    <t xml:space="preserve">Market Beta </t>
  </si>
  <si>
    <t>Adjusted Beta</t>
  </si>
  <si>
    <t>Regression Beta - 2 Years Weekly</t>
  </si>
  <si>
    <t>Year</t>
  </si>
  <si>
    <t>Annual</t>
  </si>
  <si>
    <t>Return on Markets</t>
  </si>
  <si>
    <t>Average Return</t>
  </si>
  <si>
    <t>Dividend Yield</t>
  </si>
  <si>
    <r>
      <t xml:space="preserve">1.39% </t>
    </r>
    <r>
      <rPr>
        <vertAlign val="superscript"/>
        <sz val="11"/>
        <color theme="1"/>
        <rFont val="Calibri"/>
        <family val="2"/>
      </rPr>
      <t>1</t>
    </r>
  </si>
  <si>
    <t>Total Market Returns</t>
  </si>
  <si>
    <t>Equity Weight</t>
  </si>
  <si>
    <t>Debt Weight</t>
  </si>
  <si>
    <t>WACC</t>
  </si>
  <si>
    <t>Years</t>
  </si>
  <si>
    <t>LTM</t>
  </si>
  <si>
    <t>#</t>
  </si>
  <si>
    <t>Income Statement</t>
  </si>
  <si>
    <t>Sales</t>
  </si>
  <si>
    <t>Sales Growth</t>
  </si>
  <si>
    <t>-</t>
  </si>
  <si>
    <t>COGS</t>
  </si>
  <si>
    <t>COGS % Sales</t>
  </si>
  <si>
    <t>Gross Profit</t>
  </si>
  <si>
    <t>Gross Margins</t>
  </si>
  <si>
    <t>Selling &amp; General Expenses</t>
  </si>
  <si>
    <t>S&amp;G Exp % Sales</t>
  </si>
  <si>
    <t>EBITDA</t>
  </si>
  <si>
    <t>EBITDA Margins</t>
  </si>
  <si>
    <t>Interest</t>
  </si>
  <si>
    <t>Interest % Sales</t>
  </si>
  <si>
    <t>Depreciation</t>
  </si>
  <si>
    <t>Depreciation%Sales</t>
  </si>
  <si>
    <t>Earnings Before Tax</t>
  </si>
  <si>
    <t>EBT % Sales</t>
  </si>
  <si>
    <t>Tax</t>
  </si>
  <si>
    <t>Effective Tax Rate</t>
  </si>
  <si>
    <t>Net Profit</t>
  </si>
  <si>
    <t>Net Margins</t>
  </si>
  <si>
    <t>No of Equity Shares</t>
  </si>
  <si>
    <t>Earnings per Share</t>
  </si>
  <si>
    <t>EPS Growth %</t>
  </si>
  <si>
    <t>Dividend per Share</t>
  </si>
  <si>
    <t>Dividend payout ratio</t>
  </si>
  <si>
    <t>Retained Earnings</t>
  </si>
  <si>
    <t>Balance Sheet</t>
  </si>
  <si>
    <t>Equity Share Capital</t>
  </si>
  <si>
    <t>Reserves</t>
  </si>
  <si>
    <t>Borrowings</t>
  </si>
  <si>
    <t>Other Liabilities</t>
  </si>
  <si>
    <t>Total Liabilities</t>
  </si>
  <si>
    <t>Fixed Assets Net Block</t>
  </si>
  <si>
    <t>Capital Work in Progress</t>
  </si>
  <si>
    <t>Investments</t>
  </si>
  <si>
    <t>Other Assets</t>
  </si>
  <si>
    <t>Total Non Current Assets</t>
  </si>
  <si>
    <t>Receivables</t>
  </si>
  <si>
    <t>Inventory</t>
  </si>
  <si>
    <t>Cash &amp; Bank</t>
  </si>
  <si>
    <t>Total Current Assets</t>
  </si>
  <si>
    <t>Total Assets</t>
  </si>
  <si>
    <t>Check</t>
  </si>
  <si>
    <t>Cash Flow Statements</t>
  </si>
  <si>
    <t>Cash from Operating Activities</t>
  </si>
  <si>
    <t>Cash from Investing Activities</t>
  </si>
  <si>
    <t>Cash from Financing Activities</t>
  </si>
  <si>
    <t>Net Cash Flow</t>
  </si>
  <si>
    <t>COMPANY NAME</t>
  </si>
  <si>
    <t>ASIAN PAINTS LTD</t>
  </si>
  <si>
    <t>LATEST VERSION</t>
  </si>
  <si>
    <t>PLEASE DO NOT MAKE ANY CHANGES TO THIS SHEET</t>
  </si>
  <si>
    <t>CURRENT VERSION</t>
  </si>
  <si>
    <t>META</t>
  </si>
  <si>
    <t>Number of shares</t>
  </si>
  <si>
    <t>Face Value</t>
  </si>
  <si>
    <t>Current Price</t>
  </si>
  <si>
    <t>PROFIT &amp; LOSS</t>
  </si>
  <si>
    <t>Report Date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</si>
  <si>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</si>
  <si>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</si>
  <si>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</si>
  <si>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</si>
  <si>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</si>
  <si>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</si>
  <si>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</si>
  <si>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Other Income</t>
  </si>
  <si>
    <t>Profit before tax</t>
  </si>
  <si>
    <t>Net profit</t>
  </si>
  <si>
    <t>Dividend Amount</t>
  </si>
  <si>
    <t>Quarters</t>
  </si>
  <si>
    <t>Expenses</t>
  </si>
  <si>
    <t>Operating Profit</t>
  </si>
  <si>
    <t>BALANCE SHEET</t>
  </si>
  <si>
    <t>Net Block</t>
  </si>
  <si>
    <t>No. of Equity Shares</t>
  </si>
  <si>
    <t>New Bonus Shares</t>
  </si>
  <si>
    <t>Face value</t>
  </si>
  <si>
    <t>CASH FLOW:</t>
  </si>
  <si>
    <t>Cash from Operating Activity</t>
  </si>
  <si>
    <t>Cash from Investing Activity</t>
  </si>
  <si>
    <t>Cash from Financing Activity</t>
  </si>
  <si>
    <t>PRICE:</t>
  </si>
  <si>
    <t>DERIVED:</t>
  </si>
  <si>
    <t>Adjusted Equity Shares in Cr</t>
  </si>
  <si>
    <t>Equity Capital</t>
  </si>
  <si>
    <t>Borrowings -</t>
  </si>
  <si>
    <t>Long term Borrowings</t>
  </si>
  <si>
    <t>Short term Borrowings</t>
  </si>
  <si>
    <t>Lease Liabilities</t>
  </si>
  <si>
    <t>Other Borrowings</t>
  </si>
  <si>
    <t>Other Liabilities -</t>
  </si>
  <si>
    <t>Non controlling int</t>
  </si>
  <si>
    <t>Trade Payables</t>
  </si>
  <si>
    <t>Advance from Customers</t>
  </si>
  <si>
    <t>Other liability items</t>
  </si>
  <si>
    <t>Fixed Assets -</t>
  </si>
  <si>
    <t>Land</t>
  </si>
  <si>
    <t>Building</t>
  </si>
  <si>
    <t>Plant Machinery</t>
  </si>
  <si>
    <t>Equipments</t>
  </si>
  <si>
    <t>Furniture n fittings</t>
  </si>
  <si>
    <t>Vehicles</t>
  </si>
  <si>
    <t>Intangible Assets</t>
  </si>
  <si>
    <t>Other fixed assets</t>
  </si>
  <si>
    <t>Gross Block</t>
  </si>
  <si>
    <t>Accumulated Depreciation</t>
  </si>
  <si>
    <t>CWIP</t>
  </si>
  <si>
    <t>Other Assets -</t>
  </si>
  <si>
    <t>Inventories</t>
  </si>
  <si>
    <t>Trade receivables</t>
  </si>
  <si>
    <t>Cash Equivalents</t>
  </si>
  <si>
    <t>Loans n Advances</t>
  </si>
  <si>
    <t>Other asset items</t>
  </si>
  <si>
    <t>Particulars</t>
  </si>
  <si>
    <t>ROIC</t>
  </si>
  <si>
    <t>Calculation of ROIC</t>
  </si>
  <si>
    <t>Current Assets</t>
  </si>
  <si>
    <t>Current Liabilities</t>
  </si>
  <si>
    <t>Total Current Liabilities</t>
  </si>
  <si>
    <t>Net Working Capital</t>
  </si>
  <si>
    <t>Non Current Assets</t>
  </si>
  <si>
    <t>Net Non Current Assets</t>
  </si>
  <si>
    <t>Invested Capital</t>
  </si>
  <si>
    <t>EBIT</t>
  </si>
  <si>
    <t>Calculation of Reinvestment Rate</t>
  </si>
  <si>
    <t>Net Capex</t>
  </si>
  <si>
    <t>Cash from Operating Activity -</t>
  </si>
  <si>
    <t>Profit from operations</t>
  </si>
  <si>
    <t>Payables</t>
  </si>
  <si>
    <t>Other WC items</t>
  </si>
  <si>
    <t>Working capital changes</t>
  </si>
  <si>
    <t>Direct taxes</t>
  </si>
  <si>
    <t>Exceptional CF items</t>
  </si>
  <si>
    <t>Cash from Investing Activity -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</si>
  <si>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</si>
  <si>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</si>
  <si>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</si>
  <si>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</si>
  <si>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</si>
  <si>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</si>
  <si>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Redemp n Canc of Shares</t>
  </si>
  <si>
    <t>Acquisition of companies</t>
  </si>
  <si>
    <t>Other investing items</t>
  </si>
  <si>
    <t>Cash from Financing Activity -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</si>
  <si>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</si>
  <si>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</si>
  <si>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</si>
  <si>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</si>
  <si>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</si>
  <si>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</si>
  <si>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t>Change in Working Capital</t>
  </si>
  <si>
    <t>Marginal Tax Rate</t>
  </si>
  <si>
    <t>Reinvestment</t>
  </si>
  <si>
    <t>EBIT(1-T)</t>
  </si>
  <si>
    <t>Reinvestment Rate</t>
  </si>
  <si>
    <t>4 Year Average</t>
  </si>
  <si>
    <t>4 Year Median</t>
  </si>
  <si>
    <t>Calculation of Growth Rate</t>
  </si>
  <si>
    <t>Intrinsic Growth</t>
  </si>
  <si>
    <t>EBIT (1-T)</t>
  </si>
  <si>
    <t>Less: Reinvestment Rate</t>
  </si>
  <si>
    <t>Free Cash Flow to Firm</t>
  </si>
  <si>
    <t>Expected Growth</t>
  </si>
  <si>
    <t>Terminal Growth</t>
  </si>
  <si>
    <t>Calculation of Terminal Value</t>
  </si>
  <si>
    <t>FCFF (n+1)</t>
  </si>
  <si>
    <t>Terminal Growth Rate</t>
  </si>
  <si>
    <t>Terminal Value</t>
  </si>
  <si>
    <t>Calculation of PV of FCFF</t>
  </si>
  <si>
    <t>Discounting Factor</t>
  </si>
  <si>
    <t>PV of FCFF</t>
  </si>
  <si>
    <t>Calculation of Enterprise Value</t>
  </si>
  <si>
    <t>PV of Terminal Value</t>
  </si>
  <si>
    <t>Value of Operating Asset</t>
  </si>
  <si>
    <t>Add: Cash</t>
  </si>
  <si>
    <t>Less: Debt</t>
  </si>
  <si>
    <t>Value of Equity</t>
  </si>
  <si>
    <t>No. of Shares</t>
  </si>
  <si>
    <t>Value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</si>
</sst>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 * #,##0.00_ ;_ * \-#,##0.00_ ;_ * &quot;-&quot;??_ ;_ @_ "/>
    <numFmt numFmtId="165" formatCode="#,##0.0"/>
    <numFmt numFmtId="166" formatCode="&quot;₹&quot;\ #,##0.0;\(&quot;₹&quot;\ #,##0.0\);\-"/>
    <numFmt numFmtId="167" formatCode="&quot;₹&quot;\ #,##0.00"/>
    <numFmt numFmtId="168" formatCode="&quot;₹&quot;\ #,##0.00;\(&quot;₹&quot;\ #,##0.00\);\-"/>
    <numFmt numFmtId="169" formatCode="[$-409]mmm\-yy;@"/>
    <numFmt numFmtId="170" formatCode="#,##0.0;\(#,##0.0\);\-"/>
    <numFmt numFmtId="171" formatCode="0.000000000000000%"/>
    <numFmt numFmtId="172" formatCode="0.0"/>
  </numFmts>
  <fonts count="26">
    <font>
      <sz val="11"/>
      <color theme="1"/>
      <name val="Calibri"/>
      <family val="2"/>
    </font>
    <font>
      <b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1"/>
      <color theme="1"/>
      <name val="calibri"/>
      <family val="2"/>
    </font>
    <font>
      <sz val="11"/>
      <color rgb="FF3333FF"/>
      <name val="calibri"/>
      <family val="2"/>
    </font>
    <font>
      <i/>
      <sz val="10"/>
      <color theme="1"/>
      <name val="calibri"/>
      <family val="2"/>
    </font>
    <font>
      <i/>
      <sz val="9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i/>
      <sz val="11"/>
      <color theme="1"/>
      <name val="calibri"/>
      <family val="2"/>
    </font>
    <font>
      <i/>
      <sz val="11"/>
      <color theme="0" tint="-0.499984740745262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1"/>
      <name val="Arial Narrow"/>
      <family val="2"/>
    </font>
    <font>
      <sz val="11"/>
      <color rgb="FF22222F"/>
      <name val="Arial"/>
      <family val="2"/>
    </font>
    <font>
      <sz val="11"/>
      <color rgb="FF22222F"/>
      <name val="Calibri "/>
    </font>
    <font>
      <sz val="11"/>
      <color rgb="FF22222F"/>
      <name val="Calibri 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2060"/>
      </top>
      <bottom/>
      <diagonal/>
    </border>
    <border>
      <left/>
      <right/>
      <top/>
      <bottom style="thin">
        <color rgb="FF002060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theme="8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hair">
        <color rgb="FF002060"/>
      </top>
      <bottom style="hair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/>
      <top style="hair">
        <color rgb="FF002060"/>
      </top>
      <bottom/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8">
    <xf numFmtId="0" fontId="0" fillId="0" borderId="0"/>
    <xf numFmtId="9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8" fillId="6" borderId="0" applyNumberFormat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21" fillId="0" borderId="0"/>
  </cellStyleXfs>
  <cellXfs count="12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 applyAlignment="1">
      <alignment vertical="top"/>
    </xf>
    <xf numFmtId="0" fontId="3" fillId="3" borderId="0" xfId="0" applyFont="1" applyFill="1"/>
    <xf numFmtId="0" fontId="4" fillId="3" borderId="0" xfId="0" applyFont="1" applyFill="1"/>
    <xf numFmtId="0" fontId="0" fillId="3" borderId="0" xfId="0" applyFill="1"/>
    <xf numFmtId="0" fontId="0" fillId="0" borderId="0" xfId="0" applyAlignment="1">
      <alignment vertical="top"/>
    </xf>
    <xf numFmtId="2" fontId="0" fillId="0" borderId="0" xfId="0" applyNumberFormat="1"/>
    <xf numFmtId="0" fontId="6" fillId="0" borderId="0" xfId="0" applyFont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 vertical="top"/>
    </xf>
    <xf numFmtId="2" fontId="6" fillId="0" borderId="0" xfId="0" applyNumberFormat="1" applyFont="1"/>
    <xf numFmtId="10" fontId="0" fillId="0" borderId="0" xfId="1" applyNumberFormat="1" applyFont="1"/>
    <xf numFmtId="10" fontId="6" fillId="0" borderId="0" xfId="0" applyNumberFormat="1" applyFont="1" applyAlignment="1">
      <alignment vertical="top"/>
    </xf>
    <xf numFmtId="10" fontId="0" fillId="0" borderId="0" xfId="0" applyNumberFormat="1"/>
    <xf numFmtId="0" fontId="1" fillId="0" borderId="3" xfId="0" applyFont="1" applyBorder="1"/>
    <xf numFmtId="10" fontId="0" fillId="0" borderId="3" xfId="1" applyNumberFormat="1" applyFont="1" applyBorder="1"/>
    <xf numFmtId="2" fontId="0" fillId="0" borderId="3" xfId="0" applyNumberFormat="1" applyBorder="1"/>
    <xf numFmtId="0" fontId="1" fillId="0" borderId="4" xfId="0" applyFont="1" applyBorder="1"/>
    <xf numFmtId="10" fontId="0" fillId="0" borderId="4" xfId="1" applyNumberFormat="1" applyFont="1" applyBorder="1"/>
    <xf numFmtId="2" fontId="0" fillId="0" borderId="4" xfId="0" applyNumberFormat="1" applyBorder="1"/>
    <xf numFmtId="10" fontId="0" fillId="4" borderId="0" xfId="1" applyNumberFormat="1" applyFont="1" applyFill="1" applyAlignment="1"/>
    <xf numFmtId="2" fontId="0" fillId="4" borderId="0" xfId="0" applyNumberFormat="1" applyFill="1"/>
    <xf numFmtId="0" fontId="0" fillId="0" borderId="4" xfId="0" applyBorder="1"/>
    <xf numFmtId="0" fontId="1" fillId="0" borderId="4" xfId="0" applyFont="1" applyBorder="1" applyAlignment="1">
      <alignment horizontal="right"/>
    </xf>
    <xf numFmtId="0" fontId="0" fillId="0" borderId="5" xfId="0" applyBorder="1"/>
    <xf numFmtId="10" fontId="0" fillId="0" borderId="5" xfId="1" applyNumberFormat="1" applyFont="1" applyBorder="1"/>
    <xf numFmtId="10" fontId="0" fillId="0" borderId="5" xfId="0" applyNumberFormat="1" applyBorder="1"/>
    <xf numFmtId="10" fontId="0" fillId="4" borderId="0" xfId="0" applyNumberFormat="1" applyFill="1"/>
    <xf numFmtId="10" fontId="0" fillId="4" borderId="5" xfId="1" applyNumberFormat="1" applyFont="1" applyFill="1" applyBorder="1"/>
    <xf numFmtId="10" fontId="6" fillId="0" borderId="0" xfId="0" applyNumberFormat="1" applyFont="1"/>
    <xf numFmtId="10" fontId="0" fillId="0" borderId="0" xfId="1" applyNumberFormat="1" applyFont="1" applyBorder="1"/>
    <xf numFmtId="2" fontId="0" fillId="0" borderId="5" xfId="0" applyNumberFormat="1" applyBorder="1"/>
    <xf numFmtId="0" fontId="7" fillId="0" borderId="0" xfId="0" applyFont="1"/>
    <xf numFmtId="0" fontId="8" fillId="0" borderId="0" xfId="0" applyFont="1"/>
    <xf numFmtId="165" fontId="0" fillId="0" borderId="0" xfId="0" applyNumberFormat="1"/>
    <xf numFmtId="165" fontId="6" fillId="0" borderId="0" xfId="0" applyNumberFormat="1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6" xfId="0" applyFont="1" applyBorder="1" applyAlignment="1">
      <alignment horizontal="left"/>
    </xf>
    <xf numFmtId="0" fontId="1" fillId="0" borderId="6" xfId="0" applyFont="1" applyBorder="1" applyAlignment="1">
      <alignment horizontal="right"/>
    </xf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1" fillId="0" borderId="8" xfId="0" applyFont="1" applyBorder="1" applyAlignment="1">
      <alignment horizontal="centerContinuous"/>
    </xf>
    <xf numFmtId="0" fontId="0" fillId="5" borderId="0" xfId="0" applyFill="1"/>
    <xf numFmtId="2" fontId="0" fillId="5" borderId="0" xfId="0" applyNumberFormat="1" applyFill="1"/>
    <xf numFmtId="10" fontId="6" fillId="0" borderId="0" xfId="1" applyNumberFormat="1" applyFont="1"/>
    <xf numFmtId="10" fontId="0" fillId="0" borderId="0" xfId="1" applyNumberFormat="1" applyFont="1" applyAlignment="1">
      <alignment horizontal="right"/>
    </xf>
    <xf numFmtId="0" fontId="9" fillId="2" borderId="0" xfId="0" applyFont="1" applyFill="1"/>
    <xf numFmtId="0" fontId="10" fillId="2" borderId="0" xfId="0" applyFont="1" applyFill="1"/>
    <xf numFmtId="10" fontId="0" fillId="0" borderId="0" xfId="0" applyNumberFormat="1" applyAlignment="1">
      <alignment horizontal="right"/>
    </xf>
    <xf numFmtId="0" fontId="1" fillId="4" borderId="0" xfId="0" applyFont="1" applyFill="1"/>
    <xf numFmtId="10" fontId="1" fillId="4" borderId="0" xfId="0" applyNumberFormat="1" applyFont="1" applyFill="1"/>
    <xf numFmtId="10" fontId="6" fillId="0" borderId="0" xfId="0" applyNumberFormat="1" applyFont="1" applyAlignment="1">
      <alignment horizontal="right"/>
    </xf>
    <xf numFmtId="2" fontId="0" fillId="4" borderId="0" xfId="0" applyNumberFormat="1" applyFill="1" applyAlignment="1">
      <alignment horizontal="right"/>
    </xf>
    <xf numFmtId="10" fontId="0" fillId="4" borderId="5" xfId="0" applyNumberFormat="1" applyFill="1" applyBorder="1"/>
    <xf numFmtId="10" fontId="0" fillId="0" borderId="0" xfId="1" applyNumberFormat="1" applyFont="1" applyFill="1" applyBorder="1"/>
    <xf numFmtId="0" fontId="1" fillId="5" borderId="0" xfId="0" applyFont="1" applyFill="1"/>
    <xf numFmtId="10" fontId="1" fillId="5" borderId="0" xfId="0" applyNumberFormat="1" applyFont="1" applyFill="1"/>
    <xf numFmtId="0" fontId="9" fillId="0" borderId="0" xfId="0" applyFont="1"/>
    <xf numFmtId="17" fontId="9" fillId="0" borderId="0" xfId="0" applyNumberFormat="1" applyFont="1"/>
    <xf numFmtId="17" fontId="9" fillId="0" borderId="0" xfId="0" applyNumberFormat="1" applyFont="1" applyAlignment="1">
      <alignment horizontal="right"/>
    </xf>
    <xf numFmtId="0" fontId="1" fillId="3" borderId="0" xfId="0" applyFont="1" applyFill="1"/>
    <xf numFmtId="166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right"/>
    </xf>
    <xf numFmtId="10" fontId="12" fillId="0" borderId="0" xfId="1" applyNumberFormat="1" applyFont="1"/>
    <xf numFmtId="0" fontId="1" fillId="0" borderId="9" xfId="0" applyFont="1" applyBorder="1"/>
    <xf numFmtId="167" fontId="1" fillId="0" borderId="9" xfId="0" applyNumberFormat="1" applyFont="1" applyBorder="1"/>
    <xf numFmtId="167" fontId="0" fillId="0" borderId="0" xfId="0" applyNumberFormat="1"/>
    <xf numFmtId="166" fontId="1" fillId="0" borderId="9" xfId="0" applyNumberFormat="1" applyFont="1" applyBorder="1"/>
    <xf numFmtId="168" fontId="0" fillId="0" borderId="0" xfId="0" applyNumberFormat="1"/>
    <xf numFmtId="0" fontId="11" fillId="0" borderId="0" xfId="0" applyFont="1"/>
    <xf numFmtId="166" fontId="1" fillId="0" borderId="0" xfId="0" applyNumberFormat="1" applyFont="1"/>
    <xf numFmtId="164" fontId="15" fillId="0" borderId="0" xfId="2" applyFont="1" applyBorder="1"/>
    <xf numFmtId="164" fontId="17" fillId="0" borderId="0" xfId="2" applyFont="1" applyBorder="1"/>
    <xf numFmtId="0" fontId="17" fillId="0" borderId="0" xfId="5" applyFont="1"/>
    <xf numFmtId="169" fontId="19" fillId="7" borderId="0" xfId="2" applyNumberFormat="1" applyFont="1" applyFill="1" applyBorder="1"/>
    <xf numFmtId="169" fontId="19" fillId="7" borderId="0" xfId="5" applyNumberFormat="1" applyFont="1" applyFill="1" applyAlignment="1">
      <alignment horizontal="center"/>
    </xf>
    <xf numFmtId="169" fontId="20" fillId="0" borderId="0" xfId="2" applyNumberFormat="1" applyFont="1" applyFill="1" applyBorder="1"/>
    <xf numFmtId="0" fontId="14" fillId="0" borderId="0" xfId="5"/>
    <xf numFmtId="9" fontId="17" fillId="0" borderId="0" xfId="6" applyFont="1" applyBorder="1"/>
    <xf numFmtId="0" fontId="21" fillId="0" borderId="0" xfId="7"/>
    <xf numFmtId="43" fontId="17" fillId="0" borderId="0" xfId="2" applyNumberFormat="1" applyFont="1" applyBorder="1"/>
    <xf numFmtId="3" fontId="0" fillId="0" borderId="0" xfId="0" applyNumberFormat="1"/>
    <xf numFmtId="17" fontId="9" fillId="2" borderId="0" xfId="0" applyNumberFormat="1" applyFont="1" applyFill="1"/>
    <xf numFmtId="0" fontId="0" fillId="8" borderId="0" xfId="0" applyFill="1"/>
    <xf numFmtId="17" fontId="22" fillId="8" borderId="0" xfId="0" applyNumberFormat="1" applyFont="1" applyFill="1" applyAlignment="1">
      <alignment horizontal="right" vertical="center" wrapText="1" indent="1"/>
    </xf>
    <xf numFmtId="0" fontId="1" fillId="0" borderId="10" xfId="0" applyFont="1" applyBorder="1"/>
    <xf numFmtId="0" fontId="0" fillId="0" borderId="9" xfId="0" applyBorder="1"/>
    <xf numFmtId="170" fontId="0" fillId="0" borderId="9" xfId="0" applyNumberFormat="1" applyBorder="1"/>
    <xf numFmtId="170" fontId="0" fillId="0" borderId="0" xfId="0" applyNumberFormat="1"/>
    <xf numFmtId="170" fontId="1" fillId="0" borderId="0" xfId="0" applyNumberFormat="1" applyFont="1"/>
    <xf numFmtId="0" fontId="1" fillId="0" borderId="1" xfId="0" applyFont="1" applyBorder="1"/>
    <xf numFmtId="170" fontId="0" fillId="0" borderId="1" xfId="0" applyNumberFormat="1" applyBorder="1"/>
    <xf numFmtId="170" fontId="0" fillId="0" borderId="11" xfId="0" applyNumberFormat="1" applyBorder="1"/>
    <xf numFmtId="170" fontId="1" fillId="0" borderId="10" xfId="0" applyNumberFormat="1" applyFont="1" applyBorder="1"/>
    <xf numFmtId="0" fontId="1" fillId="0" borderId="12" xfId="0" applyFont="1" applyBorder="1"/>
    <xf numFmtId="0" fontId="0" fillId="0" borderId="12" xfId="0" applyBorder="1"/>
    <xf numFmtId="10" fontId="1" fillId="0" borderId="12" xfId="1" applyNumberFormat="1" applyFont="1" applyBorder="1"/>
    <xf numFmtId="0" fontId="23" fillId="8" borderId="0" xfId="0" applyFont="1" applyFill="1" applyAlignment="1">
      <alignment horizontal="left" vertical="center" indent="1"/>
    </xf>
    <xf numFmtId="0" fontId="23" fillId="8" borderId="0" xfId="0" applyFont="1" applyFill="1" applyAlignment="1">
      <alignment horizontal="right" vertical="center" wrapText="1" indent="1"/>
    </xf>
    <xf numFmtId="3" fontId="23" fillId="8" borderId="0" xfId="0" applyNumberFormat="1" applyFont="1" applyFill="1" applyAlignment="1">
      <alignment horizontal="right" vertical="center" wrapText="1" indent="1"/>
    </xf>
    <xf numFmtId="0" fontId="23" fillId="8" borderId="0" xfId="0" applyFont="1" applyFill="1" applyAlignment="1">
      <alignment horizontal="left" vertical="center"/>
    </xf>
    <xf numFmtId="0" fontId="24" fillId="8" borderId="0" xfId="0" applyFont="1" applyFill="1" applyAlignment="1">
      <alignment horizontal="left" vertical="center"/>
    </xf>
    <xf numFmtId="0" fontId="24" fillId="8" borderId="0" xfId="0" applyFont="1" applyFill="1" applyAlignment="1">
      <alignment horizontal="right" vertical="center" wrapText="1" indent="1"/>
    </xf>
    <xf numFmtId="3" fontId="24" fillId="8" borderId="0" xfId="0" applyNumberFormat="1" applyFont="1" applyFill="1" applyAlignment="1">
      <alignment horizontal="right" vertical="center" wrapText="1" indent="1"/>
    </xf>
    <xf numFmtId="0" fontId="23" fillId="8" borderId="0" xfId="0" applyFont="1" applyFill="1" applyAlignment="1">
      <alignment vertical="center"/>
    </xf>
    <xf numFmtId="171" fontId="0" fillId="0" borderId="0" xfId="0" applyNumberFormat="1"/>
    <xf numFmtId="170" fontId="1" fillId="0" borderId="1" xfId="0" applyNumberFormat="1" applyFont="1" applyBorder="1"/>
    <xf numFmtId="170" fontId="1" fillId="0" borderId="12" xfId="0" applyNumberFormat="1" applyFont="1" applyBorder="1"/>
    <xf numFmtId="10" fontId="6" fillId="0" borderId="9" xfId="0" applyNumberFormat="1" applyFont="1" applyBorder="1"/>
    <xf numFmtId="170" fontId="25" fillId="0" borderId="9" xfId="0" applyNumberFormat="1" applyFont="1" applyBorder="1"/>
    <xf numFmtId="10" fontId="0" fillId="0" borderId="9" xfId="0" applyNumberFormat="1" applyBorder="1"/>
    <xf numFmtId="10" fontId="1" fillId="0" borderId="12" xfId="0" applyNumberFormat="1" applyFont="1" applyBorder="1"/>
    <xf numFmtId="17" fontId="9" fillId="2" borderId="0" xfId="0" applyNumberFormat="1" applyFont="1" applyFill="1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164" fontId="1" fillId="0" borderId="12" xfId="0" applyNumberFormat="1" applyFont="1" applyBorder="1"/>
    <xf numFmtId="10" fontId="0" fillId="5" borderId="0" xfId="0" applyNumberFormat="1" applyFill="1"/>
    <xf numFmtId="172" fontId="0" fillId="0" borderId="0" xfId="0" applyNumberFormat="1"/>
    <xf numFmtId="0" fontId="9" fillId="2" borderId="0" xfId="0" applyFont="1" applyFill="1" applyAlignment="1">
      <alignment horizontal="center"/>
    </xf>
    <xf numFmtId="164" fontId="16" fillId="0" borderId="0" xfId="3" applyNumberFormat="1" applyFont="1" applyBorder="1" applyAlignment="1" applyProtection="1">
      <alignment horizontal="center"/>
    </xf>
    <xf numFmtId="164" fontId="19" fillId="6" borderId="0" xfId="4" applyNumberFormat="1" applyFont="1" applyBorder="1" applyAlignment="1">
      <alignment horizontal="center"/>
    </xf>
  </cellXfs>
  <cellStyles count="8">
    <cellStyle name="Accent6 2" xfId="4" xr:uid="{C4E8E0CB-FE77-482F-93E0-B2E0584F0368}"/>
    <cellStyle name="Comma 2" xfId="2" xr:uid="{1A7DFA1D-C51A-40CE-910E-8390CF1EC924}"/>
    <cellStyle name="Hyperlink 2" xfId="3" xr:uid="{C7BBB295-D97F-41F6-AD82-25BFD9046B13}"/>
    <cellStyle name="Normal" xfId="0" builtinId="0"/>
    <cellStyle name="Normal 2" xfId="7" xr:uid="{633D282F-8662-4C6C-BDD9-AD052BE7F2A5}"/>
    <cellStyle name="Normal 3" xfId="5" xr:uid="{EAECDA40-276A-48EF-BFC3-4D8D193BC9C6}"/>
    <cellStyle name="Percent" xfId="1" builtinId="5"/>
    <cellStyle name="Percent 3" xfId="6" xr:uid="{43F4A9DE-7E1B-4A43-8A65-13C050C61561}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95834</xdr:colOff>
      <xdr:row>0</xdr:row>
      <xdr:rowOff>40299</xdr:rowOff>
    </xdr:from>
    <xdr:to>
      <xdr:col>1</xdr:col>
      <xdr:colOff>1223224</xdr:colOff>
      <xdr:row>3</xdr:row>
      <xdr:rowOff>109967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11D0C1-5A5C-E3E8-0B7E-225C22F708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57" t="23758" r="1657" b="26515"/>
        <a:stretch/>
      </xdr:blipFill>
      <xdr:spPr>
        <a:xfrm>
          <a:off x="95834" y="40299"/>
          <a:ext cx="1253853" cy="6259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603834</xdr:colOff>
      <xdr:row>0</xdr:row>
      <xdr:rowOff>21249</xdr:rowOff>
    </xdr:from>
    <xdr:to>
      <xdr:col>2</xdr:col>
      <xdr:colOff>518374</xdr:colOff>
      <xdr:row>3</xdr:row>
      <xdr:rowOff>90917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6B73C7-E93F-40A2-A690-BD12ADC6BA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57" t="23758" r="1657" b="26515"/>
        <a:stretch/>
      </xdr:blipFill>
      <xdr:spPr>
        <a:xfrm>
          <a:off x="603834" y="21249"/>
          <a:ext cx="1254390" cy="6411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603834</xdr:colOff>
      <xdr:row>0</xdr:row>
      <xdr:rowOff>21249</xdr:rowOff>
    </xdr:from>
    <xdr:to>
      <xdr:col>2</xdr:col>
      <xdr:colOff>651724</xdr:colOff>
      <xdr:row>3</xdr:row>
      <xdr:rowOff>90917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134DBE-65F7-4521-ADE0-0F4DE344DB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57" t="23758" r="1657" b="26515"/>
        <a:stretch/>
      </xdr:blipFill>
      <xdr:spPr>
        <a:xfrm>
          <a:off x="127584" y="21249"/>
          <a:ext cx="1257565" cy="64116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603834</xdr:colOff>
      <xdr:row>0</xdr:row>
      <xdr:rowOff>21249</xdr:rowOff>
    </xdr:from>
    <xdr:to>
      <xdr:col>3</xdr:col>
      <xdr:colOff>42124</xdr:colOff>
      <xdr:row>3</xdr:row>
      <xdr:rowOff>90917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59174D-6ABE-4198-8441-DE9D0D5101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57" t="23758" r="1657" b="26515"/>
        <a:stretch/>
      </xdr:blipFill>
      <xdr:spPr>
        <a:xfrm>
          <a:off x="130759" y="21249"/>
          <a:ext cx="1257565" cy="64116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603834</xdr:colOff>
      <xdr:row>0</xdr:row>
      <xdr:rowOff>21249</xdr:rowOff>
    </xdr:from>
    <xdr:to>
      <xdr:col>3</xdr:col>
      <xdr:colOff>42124</xdr:colOff>
      <xdr:row>3</xdr:row>
      <xdr:rowOff>90917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5AECF4-06F6-45E6-B789-199784859A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57" t="23758" r="1657" b="26515"/>
        <a:stretch/>
      </xdr:blipFill>
      <xdr:spPr>
        <a:xfrm>
          <a:off x="130759" y="21249"/>
          <a:ext cx="1257565" cy="64116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603834</xdr:colOff>
      <xdr:row>0</xdr:row>
      <xdr:rowOff>21249</xdr:rowOff>
    </xdr:from>
    <xdr:to>
      <xdr:col>3</xdr:col>
      <xdr:colOff>42124</xdr:colOff>
      <xdr:row>3</xdr:row>
      <xdr:rowOff>90917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6991CA-8E01-475F-91DE-73B27ADC39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57" t="23758" r="1657" b="26515"/>
        <a:stretch/>
      </xdr:blipFill>
      <xdr:spPr>
        <a:xfrm>
          <a:off x="127584" y="21249"/>
          <a:ext cx="1257565" cy="641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screener.in/excel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4604B-C49D-4058-B0BC-4DBDC0225086}">
  <sheetPr>
    <tabColor rgb="FF002060"/>
  </sheetPr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6E45-0ED7-46FC-B495-FA76E0E81502}">
  <sheetPr>
    <tabColor rgb="FF002060"/>
  </sheetPr>
  <dimension ref="A1"/>
  <sheetViews>
    <sheetView workbookViewId="0">
      <selection activeCell="K19" sqref="K19"/>
    </sheetView>
  </sheetViews>
  <sheetFormatPr baseColWidth="10" defaultColWidth="8.83203125"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9284B-6E43-4C29-92AC-CEA7C520B163}">
  <dimension ref="A1:L93"/>
  <sheetViews>
    <sheetView workbookViewId="0">
      <pane xSplit="1" ySplit="1" topLeftCell="B4" activePane="bottomRight" state="frozen"/>
      <selection activeCell="C4" sqref="C4"/>
      <selection pane="topRight" activeCell="C4" sqref="C4"/>
      <selection pane="bottomLeft" activeCell="C4" sqref="C4"/>
      <selection pane="bottomRight" activeCell="D10" sqref="D10"/>
    </sheetView>
  </sheetViews>
  <sheetFormatPr baseColWidth="10" defaultColWidth="10.5" defaultRowHeight="13"/>
  <cols>
    <col min="1" max="1" width="26.6640625" style="80" bestFit="1" customWidth="1"/>
    <col min="2" max="11" width="11.5" style="80" bestFit="1" customWidth="1"/>
    <col min="12" max="16384" width="10.5" style="80"/>
  </cols>
  <sheetData>
    <row r="1" spans="1:11" s="79" customFormat="1">
      <c r="A1" s="79" t="s">
        <v>154</v>
      </c>
      <c r="B1" s="79" t="s">
        <v>155</v>
      </c>
      <c r="E1" s="127" t="str">
        <f>IF(B2&lt;&gt;B3, "A NEW VERSION OF THE WORKSHEET IS AVAILABLE", "")</f>
        <v/>
      </c>
      <c r="F1" s="127"/>
      <c r="G1" s="127"/>
      <c r="H1" s="127"/>
      <c r="I1" s="127"/>
      <c r="J1" s="127"/>
      <c r="K1" s="127"/>
    </row>
    <row r="2" spans="1:11">
      <c r="A2" s="79" t="s">
        <v>156</v>
      </c>
      <c r="B2" s="80">
        <v>2.1</v>
      </c>
      <c r="E2" s="128" t="s">
        <v>157</v>
      </c>
      <c r="F2" s="128"/>
      <c r="G2" s="128"/>
      <c r="H2" s="128"/>
      <c r="I2" s="128"/>
      <c r="J2" s="128"/>
      <c r="K2" s="128"/>
    </row>
    <row r="3" spans="1:11">
      <c r="A3" s="79" t="s">
        <v>158</v>
      </c>
      <c r="B3" s="80">
        <v>2.1</v>
      </c>
    </row>
    <row r="4" spans="1:11">
      <c r="A4" s="79"/>
    </row>
    <row r="5" spans="1:11">
      <c r="A5" s="79" t="s">
        <v>159</v>
      </c>
    </row>
    <row r="6" spans="1:11">
      <c r="A6" s="80" t="s">
        <v>160</v>
      </c>
      <c r="B6" s="80">
        <f>IF(B9&gt;0, B9/B8, 0)</f>
        <v>95.919780046582488</v>
      </c>
    </row>
    <row r="7" spans="1:11">
      <c r="A7" s="80" t="s">
        <v>161</v>
      </c>
      <c r="B7" s="81">
        <v>1</v>
      </c>
    </row>
    <row r="8" spans="1:11">
      <c r="A8" s="80" t="s">
        <v>162</v>
      </c>
      <c r="B8" s="81">
        <v>2855.15</v>
      </c>
    </row>
    <row r="9" spans="1:11">
      <c r="A9" s="80" t="s">
        <v>19</v>
      </c>
      <c r="B9" s="81">
        <v>273865.36</v>
      </c>
    </row>
    <row r="15" spans="1:11">
      <c r="A15" s="79" t="s">
        <v>163</v>
      </c>
      <c r="B15" s="80">
        <f>B26+B34</f>
        <v>1960.83</v>
      </c>
      <c r="K15" s="80">
        <f>K17-K18-K20-K21-K22-K23-K19</f>
        <v>2918.7899999999981</v>
      </c>
    </row>
    <row r="16" spans="1:11" s="84" customFormat="1">
      <c r="A16" s="82" t="s">
        <v>164</v>
      </c>
      <c r="B16" s="83">
        <v>41364</v>
      </c>
      <c r="C16" s="83">
        <v>41729</v>
      </c>
      <c r="D16" s="83">
        <v>42094</v>
      </c>
      <c r="E16" s="83">
        <v>42460</v>
      </c>
      <c r="F16" s="83">
        <v>42825</v>
      </c>
      <c r="G16" s="83">
        <v>43190</v>
      </c>
      <c r="H16" s="83">
        <v>43555</v>
      </c>
      <c r="I16" s="83">
        <v>43921</v>
      </c>
      <c r="J16" s="83">
        <v>44286</v>
      </c>
      <c r="K16" s="83">
        <v>44651</v>
      </c>
    </row>
    <row r="17" spans="1:11">
      <c r="A17" s="80" t="s">
        <v>105</v>
      </c>
      <c r="B17" s="81">
        <v>10503.91</v>
      </c>
      <c r="C17" s="81">
        <v>12220.37</v>
      </c>
      <c r="D17" s="81">
        <v>13615.26</v>
      </c>
      <c r="E17" s="81">
        <v>14271.49</v>
      </c>
      <c r="F17" s="81">
        <v>15061.99</v>
      </c>
      <c r="G17" s="81">
        <v>16824.55</v>
      </c>
      <c r="H17" s="81">
        <v>19240.13</v>
      </c>
      <c r="I17" s="81">
        <v>20211.25</v>
      </c>
      <c r="J17" s="81">
        <v>21712.79</v>
      </c>
      <c r="K17" s="81">
        <v>29101.279999999999</v>
      </c>
    </row>
    <row r="18" spans="1:11" ht="15">
      <c r="A18" s="80" t="s">
        <v>165</v>
      </c>
      <c r="B18" s="85">
        <v>5636.23</v>
      </c>
      <c r="C18" s="85">
        <v>6339.75</v>
      </c>
      <c r="D18" s="85">
        <v>6874.83</v>
      </c>
      <c r="E18" s="85">
        <v>6569.83</v>
      </c>
      <c r="F18" s="85">
        <v>7452.6</v>
      </c>
      <c r="G18" s="85">
        <v>8128.17</v>
      </c>
      <c r="H18" s="85">
        <v>9974.4</v>
      </c>
      <c r="I18" s="85">
        <v>9981.99</v>
      </c>
      <c r="J18" s="85">
        <v>10425.549999999999</v>
      </c>
      <c r="K18" s="85">
        <v>17123.25</v>
      </c>
    </row>
    <row r="19" spans="1:11" ht="15">
      <c r="A19" s="80" t="s">
        <v>166</v>
      </c>
      <c r="B19" s="85">
        <v>149.56</v>
      </c>
      <c r="C19" s="85">
        <v>90.28</v>
      </c>
      <c r="D19" s="85">
        <v>148.07</v>
      </c>
      <c r="E19" s="85">
        <v>-199.33</v>
      </c>
      <c r="F19" s="85">
        <v>528.6</v>
      </c>
      <c r="G19" s="85">
        <v>-142.13</v>
      </c>
      <c r="H19" s="85">
        <v>293.26</v>
      </c>
      <c r="I19" s="85">
        <v>239.15</v>
      </c>
      <c r="J19" s="85">
        <v>92.45</v>
      </c>
      <c r="K19" s="85">
        <v>1324.97</v>
      </c>
    </row>
    <row r="20" spans="1:11">
      <c r="A20" s="80" t="s">
        <v>167</v>
      </c>
      <c r="B20" s="81">
        <v>114.71</v>
      </c>
      <c r="C20" s="81">
        <v>133.74</v>
      </c>
      <c r="D20" s="81">
        <v>130.68</v>
      </c>
      <c r="E20" s="81">
        <v>114.48</v>
      </c>
      <c r="F20" s="81">
        <v>106.02</v>
      </c>
      <c r="G20" s="81">
        <v>110.3</v>
      </c>
      <c r="H20" s="81">
        <v>119.63</v>
      </c>
      <c r="I20" s="81">
        <v>97.79</v>
      </c>
      <c r="J20" s="81">
        <v>86.05</v>
      </c>
      <c r="K20" s="81">
        <v>117.23</v>
      </c>
    </row>
    <row r="21" spans="1:11">
      <c r="A21" s="80" t="s">
        <v>168</v>
      </c>
      <c r="B21" s="81">
        <v>1107.31</v>
      </c>
      <c r="C21" s="81">
        <v>1292.18</v>
      </c>
      <c r="D21" s="81">
        <v>1504.47</v>
      </c>
      <c r="E21" s="81">
        <v>1535.22</v>
      </c>
      <c r="F21" s="81">
        <v>1662.75</v>
      </c>
      <c r="G21" s="81">
        <v>1691.68</v>
      </c>
      <c r="H21" s="81">
        <v>1862.35</v>
      </c>
      <c r="I21" s="81">
        <v>1946.12</v>
      </c>
      <c r="J21" s="81">
        <v>2068.31</v>
      </c>
      <c r="K21" s="81">
        <v>2880.45</v>
      </c>
    </row>
    <row r="22" spans="1:11">
      <c r="A22" s="80" t="s">
        <v>169</v>
      </c>
      <c r="B22" s="81">
        <v>627.59</v>
      </c>
      <c r="C22" s="81">
        <v>763.59</v>
      </c>
      <c r="D22" s="81">
        <v>936.86</v>
      </c>
      <c r="E22" s="81">
        <v>994.98</v>
      </c>
      <c r="F22" s="81">
        <v>1039.8900000000001</v>
      </c>
      <c r="G22" s="81">
        <v>1121.8900000000001</v>
      </c>
      <c r="H22" s="81">
        <v>1242.69</v>
      </c>
      <c r="I22" s="81">
        <v>1371.27</v>
      </c>
      <c r="J22" s="81">
        <v>1547.61</v>
      </c>
      <c r="K22" s="81">
        <v>1794.61</v>
      </c>
    </row>
    <row r="23" spans="1:11">
      <c r="A23" s="80" t="s">
        <v>170</v>
      </c>
      <c r="B23" s="81">
        <v>2273.91</v>
      </c>
      <c r="C23" s="81">
        <v>2826.43</v>
      </c>
      <c r="D23" s="81">
        <v>3351.66</v>
      </c>
      <c r="E23" s="81">
        <v>3912.3</v>
      </c>
      <c r="F23" s="81">
        <v>4364.04</v>
      </c>
      <c r="G23" s="81">
        <v>2254.92</v>
      </c>
      <c r="H23" s="81">
        <v>2366.87</v>
      </c>
      <c r="I23" s="81">
        <v>2311.5100000000002</v>
      </c>
      <c r="J23" s="81">
        <v>2245.69</v>
      </c>
      <c r="K23" s="81">
        <v>2941.98</v>
      </c>
    </row>
    <row r="24" spans="1:11">
      <c r="A24" s="80" t="s">
        <v>171</v>
      </c>
      <c r="B24" s="81">
        <v>-843.67</v>
      </c>
      <c r="C24" s="81">
        <v>-1048.7</v>
      </c>
      <c r="D24" s="81">
        <v>-1278.06</v>
      </c>
      <c r="E24" s="81">
        <v>-1779.69</v>
      </c>
      <c r="F24" s="81">
        <v>-2028.47</v>
      </c>
      <c r="G24" s="81">
        <v>171.45</v>
      </c>
      <c r="H24" s="81">
        <v>202.51</v>
      </c>
      <c r="I24" s="81">
        <v>584.9</v>
      </c>
      <c r="J24" s="81">
        <v>576.42999999999995</v>
      </c>
      <c r="K24" s="81">
        <v>765.12</v>
      </c>
    </row>
    <row r="25" spans="1:11">
      <c r="A25" s="80" t="s">
        <v>172</v>
      </c>
      <c r="B25" s="81">
        <v>114.48</v>
      </c>
      <c r="C25" s="81">
        <v>124.26</v>
      </c>
      <c r="D25" s="81">
        <v>142.13999999999999</v>
      </c>
      <c r="E25" s="81">
        <v>213.39</v>
      </c>
      <c r="F25" s="81">
        <v>337.9</v>
      </c>
      <c r="G25" s="81">
        <v>336.41</v>
      </c>
      <c r="H25" s="81">
        <v>273.77</v>
      </c>
      <c r="I25" s="81">
        <v>355.05</v>
      </c>
      <c r="J25" s="81">
        <v>331.65</v>
      </c>
      <c r="K25" s="81">
        <v>295.88</v>
      </c>
    </row>
    <row r="26" spans="1:11">
      <c r="A26" s="80" t="s">
        <v>118</v>
      </c>
      <c r="B26" s="81">
        <v>154.6</v>
      </c>
      <c r="C26" s="81">
        <v>245.66</v>
      </c>
      <c r="D26" s="81">
        <v>265.92</v>
      </c>
      <c r="E26" s="81">
        <v>275.58</v>
      </c>
      <c r="F26" s="81">
        <v>334.79</v>
      </c>
      <c r="G26" s="81">
        <v>360.47</v>
      </c>
      <c r="H26" s="81">
        <v>622.14</v>
      </c>
      <c r="I26" s="81">
        <v>780.5</v>
      </c>
      <c r="J26" s="81">
        <v>791.27</v>
      </c>
      <c r="K26" s="81">
        <v>816.36</v>
      </c>
    </row>
    <row r="27" spans="1:11" ht="15">
      <c r="A27" s="80" t="s">
        <v>116</v>
      </c>
      <c r="B27" s="81">
        <v>42.06</v>
      </c>
      <c r="C27" s="81">
        <v>47.99</v>
      </c>
      <c r="D27" s="81">
        <v>42.24</v>
      </c>
      <c r="E27" s="81">
        <v>49</v>
      </c>
      <c r="F27" s="81">
        <v>37.33</v>
      </c>
      <c r="G27" s="81">
        <v>41.47</v>
      </c>
      <c r="H27" s="81">
        <v>110.47</v>
      </c>
      <c r="I27" s="81">
        <v>102.33</v>
      </c>
      <c r="J27" s="85">
        <v>91.63</v>
      </c>
      <c r="K27" s="85">
        <v>95.41</v>
      </c>
    </row>
    <row r="28" spans="1:11">
      <c r="A28" s="80" t="s">
        <v>173</v>
      </c>
      <c r="B28" s="81">
        <v>1655.21</v>
      </c>
      <c r="C28" s="81">
        <v>1834.27</v>
      </c>
      <c r="D28" s="81">
        <v>2076.87</v>
      </c>
      <c r="E28" s="81">
        <v>2613.85</v>
      </c>
      <c r="F28" s="81">
        <v>2959.54</v>
      </c>
      <c r="G28" s="81">
        <v>3138.48</v>
      </c>
      <c r="H28" s="81">
        <v>3306.1</v>
      </c>
      <c r="I28" s="81">
        <v>3629.04</v>
      </c>
      <c r="J28" s="81">
        <v>4304.3500000000004</v>
      </c>
      <c r="K28" s="81">
        <v>4187.72</v>
      </c>
    </row>
    <row r="29" spans="1:11">
      <c r="A29" s="80" t="s">
        <v>122</v>
      </c>
      <c r="B29" s="81">
        <v>495.69</v>
      </c>
      <c r="C29" s="81">
        <v>571.51</v>
      </c>
      <c r="D29" s="81">
        <v>649.54</v>
      </c>
      <c r="E29" s="81">
        <v>844.49</v>
      </c>
      <c r="F29" s="81">
        <v>943.29</v>
      </c>
      <c r="G29" s="81">
        <v>1040.96</v>
      </c>
      <c r="H29" s="81">
        <v>1098.06</v>
      </c>
      <c r="I29" s="81">
        <v>854.85</v>
      </c>
      <c r="J29" s="81">
        <v>1097.5999999999999</v>
      </c>
      <c r="K29" s="81">
        <v>1102.9100000000001</v>
      </c>
    </row>
    <row r="30" spans="1:11">
      <c r="A30" s="80" t="s">
        <v>174</v>
      </c>
      <c r="B30" s="81">
        <v>1113.8800000000001</v>
      </c>
      <c r="C30" s="81">
        <v>1218.81</v>
      </c>
      <c r="D30" s="81">
        <v>1395.15</v>
      </c>
      <c r="E30" s="81">
        <v>1745.16</v>
      </c>
      <c r="F30" s="81">
        <v>1939.43</v>
      </c>
      <c r="G30" s="81">
        <v>2038.93</v>
      </c>
      <c r="H30" s="81">
        <v>2155.92</v>
      </c>
      <c r="I30" s="81">
        <v>2705.17</v>
      </c>
      <c r="J30" s="81">
        <v>3139.29</v>
      </c>
      <c r="K30" s="81">
        <v>3030.57</v>
      </c>
    </row>
    <row r="31" spans="1:11">
      <c r="A31" s="80" t="s">
        <v>175</v>
      </c>
      <c r="B31" s="81">
        <v>441.23</v>
      </c>
      <c r="C31" s="81">
        <v>508.38</v>
      </c>
      <c r="D31" s="81">
        <v>585.11</v>
      </c>
      <c r="E31" s="81">
        <v>719.4</v>
      </c>
      <c r="F31" s="81">
        <v>987.98</v>
      </c>
      <c r="G31" s="81">
        <v>834.5</v>
      </c>
      <c r="H31" s="81">
        <v>1007.16</v>
      </c>
      <c r="I31" s="81">
        <v>1151.04</v>
      </c>
      <c r="J31" s="81">
        <v>1712.17</v>
      </c>
      <c r="K31" s="81">
        <v>1836.87</v>
      </c>
    </row>
    <row r="32" spans="1:11">
      <c r="A32" s="80" t="s">
        <v>123</v>
      </c>
      <c r="B32" s="86">
        <f>B29/B28</f>
        <v>0.29947257447695458</v>
      </c>
      <c r="C32" s="86">
        <f t="shared" ref="C32:K32" si="0">C29/C28</f>
        <v>0.31157354151787903</v>
      </c>
      <c r="D32" s="86">
        <f t="shared" si="0"/>
        <v>0.31274947396803843</v>
      </c>
      <c r="E32" s="86">
        <f t="shared" si="0"/>
        <v>0.32308280888344781</v>
      </c>
      <c r="F32" s="86">
        <f t="shared" si="0"/>
        <v>0.31872858619920663</v>
      </c>
      <c r="G32" s="86">
        <f t="shared" si="0"/>
        <v>0.33167648033442942</v>
      </c>
      <c r="H32" s="86">
        <f t="shared" si="0"/>
        <v>0.3321315144732464</v>
      </c>
      <c r="I32" s="86">
        <f t="shared" si="0"/>
        <v>0.23555816414258318</v>
      </c>
      <c r="J32" s="86">
        <f t="shared" si="0"/>
        <v>0.25499785101118633</v>
      </c>
      <c r="K32" s="86">
        <f t="shared" si="0"/>
        <v>0.26336765590822692</v>
      </c>
    </row>
    <row r="34" spans="1:11">
      <c r="A34" s="80" t="s">
        <v>114</v>
      </c>
      <c r="B34" s="80">
        <f>+B30+B29+B27+B26</f>
        <v>1806.23</v>
      </c>
      <c r="C34" s="80">
        <f t="shared" ref="C34:K34" si="1">+C30+C29+C27+C26</f>
        <v>2083.9699999999998</v>
      </c>
      <c r="D34" s="80">
        <f t="shared" si="1"/>
        <v>2352.85</v>
      </c>
      <c r="E34" s="80">
        <f t="shared" si="1"/>
        <v>2914.23</v>
      </c>
      <c r="F34" s="80">
        <f t="shared" si="1"/>
        <v>3254.84</v>
      </c>
      <c r="G34" s="80">
        <f t="shared" si="1"/>
        <v>3481.83</v>
      </c>
      <c r="H34" s="80">
        <f t="shared" si="1"/>
        <v>3986.5899999999997</v>
      </c>
      <c r="I34" s="80">
        <f t="shared" si="1"/>
        <v>4442.8500000000004</v>
      </c>
      <c r="J34" s="80">
        <f t="shared" si="1"/>
        <v>5119.7899999999991</v>
      </c>
      <c r="K34" s="80">
        <f t="shared" si="1"/>
        <v>5045.25</v>
      </c>
    </row>
    <row r="40" spans="1:11">
      <c r="A40" s="79" t="s">
        <v>176</v>
      </c>
    </row>
    <row r="41" spans="1:11" s="84" customFormat="1">
      <c r="A41" s="82" t="s">
        <v>164</v>
      </c>
      <c r="B41" s="83">
        <v>44104</v>
      </c>
      <c r="C41" s="83">
        <v>44196</v>
      </c>
      <c r="D41" s="83">
        <v>44286</v>
      </c>
      <c r="E41" s="83">
        <v>44377</v>
      </c>
      <c r="F41" s="83">
        <v>44469</v>
      </c>
      <c r="G41" s="83">
        <v>44561</v>
      </c>
      <c r="H41" s="83">
        <v>44651</v>
      </c>
      <c r="I41" s="83">
        <v>44742</v>
      </c>
      <c r="J41" s="83">
        <v>44834</v>
      </c>
      <c r="K41" s="83">
        <v>44926</v>
      </c>
    </row>
    <row r="42" spans="1:11">
      <c r="A42" s="80" t="s">
        <v>105</v>
      </c>
      <c r="B42" s="81">
        <v>5350.23</v>
      </c>
      <c r="C42" s="81">
        <v>6788.47</v>
      </c>
      <c r="D42" s="81">
        <v>6651.43</v>
      </c>
      <c r="E42" s="81">
        <v>5585.36</v>
      </c>
      <c r="F42" s="81">
        <v>7096.01</v>
      </c>
      <c r="G42" s="81">
        <v>8527.24</v>
      </c>
      <c r="H42" s="81">
        <v>7892.67</v>
      </c>
      <c r="I42" s="81">
        <v>8606.94</v>
      </c>
      <c r="J42" s="81">
        <v>8457.57</v>
      </c>
      <c r="K42" s="81">
        <v>8636.74</v>
      </c>
    </row>
    <row r="43" spans="1:11">
      <c r="A43" s="80" t="s">
        <v>177</v>
      </c>
      <c r="B43" s="81">
        <v>4085.03</v>
      </c>
      <c r="C43" s="81">
        <v>5000.58</v>
      </c>
      <c r="D43" s="81">
        <v>5333.17</v>
      </c>
      <c r="E43" s="81">
        <v>4674.32</v>
      </c>
      <c r="F43" s="81">
        <v>6191.56</v>
      </c>
      <c r="G43" s="81">
        <v>6984.93</v>
      </c>
      <c r="H43" s="81">
        <v>6449.38</v>
      </c>
      <c r="I43" s="81">
        <v>7050.99</v>
      </c>
      <c r="J43" s="81">
        <v>7229.87</v>
      </c>
      <c r="K43" s="81">
        <v>7025.31</v>
      </c>
    </row>
    <row r="44" spans="1:11">
      <c r="A44" s="80" t="s">
        <v>172</v>
      </c>
      <c r="B44" s="81">
        <v>94.41</v>
      </c>
      <c r="C44" s="81">
        <v>123.17</v>
      </c>
      <c r="D44" s="81">
        <v>81.260000000000005</v>
      </c>
      <c r="E44" s="81">
        <v>89.61</v>
      </c>
      <c r="F44" s="81">
        <v>148.4</v>
      </c>
      <c r="G44" s="81">
        <v>86.77</v>
      </c>
      <c r="H44" s="81">
        <v>-26.38</v>
      </c>
      <c r="I44" s="81">
        <v>87.52</v>
      </c>
      <c r="J44" s="81">
        <v>117.56</v>
      </c>
      <c r="K44" s="81">
        <v>122.21</v>
      </c>
    </row>
    <row r="45" spans="1:11">
      <c r="A45" s="80" t="s">
        <v>118</v>
      </c>
      <c r="B45" s="81">
        <v>193.58</v>
      </c>
      <c r="C45" s="81">
        <v>193.17</v>
      </c>
      <c r="D45" s="81">
        <v>213.35</v>
      </c>
      <c r="E45" s="81">
        <v>200.59</v>
      </c>
      <c r="F45" s="81">
        <v>202.75</v>
      </c>
      <c r="G45" s="81">
        <v>207.91</v>
      </c>
      <c r="H45" s="81">
        <v>205.11</v>
      </c>
      <c r="I45" s="81">
        <v>208.1</v>
      </c>
      <c r="J45" s="81">
        <v>215.7</v>
      </c>
      <c r="K45" s="81">
        <v>214.05</v>
      </c>
    </row>
    <row r="46" spans="1:11" ht="15">
      <c r="A46" s="80" t="s">
        <v>116</v>
      </c>
      <c r="B46" s="85">
        <v>20.51</v>
      </c>
      <c r="C46" s="85">
        <v>21.13</v>
      </c>
      <c r="D46" s="85">
        <v>29.86</v>
      </c>
      <c r="E46" s="85">
        <v>21.48</v>
      </c>
      <c r="F46" s="85">
        <v>23.86</v>
      </c>
      <c r="G46" s="85">
        <v>27.45</v>
      </c>
      <c r="H46" s="85">
        <v>22.62</v>
      </c>
      <c r="I46" s="85">
        <v>28.75</v>
      </c>
      <c r="J46" s="85">
        <v>35.4</v>
      </c>
      <c r="K46" s="85">
        <v>41.39</v>
      </c>
    </row>
    <row r="47" spans="1:11">
      <c r="A47" s="80" t="s">
        <v>173</v>
      </c>
      <c r="B47" s="81">
        <v>1145.52</v>
      </c>
      <c r="C47" s="81">
        <v>1696.76</v>
      </c>
      <c r="D47" s="81">
        <v>1156.31</v>
      </c>
      <c r="E47" s="81">
        <v>778.58</v>
      </c>
      <c r="F47" s="81">
        <v>826.24</v>
      </c>
      <c r="G47" s="81">
        <v>1393.72</v>
      </c>
      <c r="H47" s="81">
        <v>1189.18</v>
      </c>
      <c r="I47" s="81">
        <v>1406.62</v>
      </c>
      <c r="J47" s="81">
        <v>1094.1600000000001</v>
      </c>
      <c r="K47" s="81">
        <v>1478.2</v>
      </c>
    </row>
    <row r="48" spans="1:11">
      <c r="A48" s="80" t="s">
        <v>122</v>
      </c>
      <c r="B48" s="81">
        <v>293.62</v>
      </c>
      <c r="C48" s="81">
        <v>431.41</v>
      </c>
      <c r="D48" s="81">
        <v>286.42</v>
      </c>
      <c r="E48" s="81">
        <v>204.28</v>
      </c>
      <c r="F48" s="81">
        <v>221.07</v>
      </c>
      <c r="G48" s="81">
        <v>362.43</v>
      </c>
      <c r="H48" s="81">
        <v>315.13</v>
      </c>
      <c r="I48" s="81">
        <v>370.59</v>
      </c>
      <c r="J48" s="81">
        <v>290.33</v>
      </c>
      <c r="K48" s="81">
        <v>381.14</v>
      </c>
    </row>
    <row r="49" spans="1:11">
      <c r="A49" s="80" t="s">
        <v>174</v>
      </c>
      <c r="B49" s="81">
        <v>830.37</v>
      </c>
      <c r="C49" s="81">
        <v>1238.3399999999999</v>
      </c>
      <c r="D49" s="81">
        <v>852.13</v>
      </c>
      <c r="E49" s="81">
        <v>568.5</v>
      </c>
      <c r="F49" s="81">
        <v>595.96</v>
      </c>
      <c r="G49" s="81">
        <v>1015.69</v>
      </c>
      <c r="H49" s="81">
        <v>850.42</v>
      </c>
      <c r="I49" s="81">
        <v>1016.93</v>
      </c>
      <c r="J49" s="81">
        <v>782.71</v>
      </c>
      <c r="K49" s="81">
        <v>1072.67</v>
      </c>
    </row>
    <row r="50" spans="1:11">
      <c r="A50" s="80" t="s">
        <v>178</v>
      </c>
      <c r="B50" s="81">
        <v>1265.2</v>
      </c>
      <c r="C50" s="81">
        <v>1787.89</v>
      </c>
      <c r="D50" s="81">
        <v>1318.26</v>
      </c>
      <c r="E50" s="81">
        <v>911.04</v>
      </c>
      <c r="F50" s="81">
        <v>904.45</v>
      </c>
      <c r="G50" s="81">
        <v>1542.31</v>
      </c>
      <c r="H50" s="81">
        <v>1443.29</v>
      </c>
      <c r="I50" s="81">
        <v>1555.95</v>
      </c>
      <c r="J50" s="81">
        <v>1227.7</v>
      </c>
      <c r="K50" s="81">
        <v>1611.43</v>
      </c>
    </row>
    <row r="51" spans="1:11">
      <c r="A51" s="80" t="s">
        <v>114</v>
      </c>
      <c r="B51" s="80">
        <f>B49+B48+B46+B45</f>
        <v>1338.08</v>
      </c>
      <c r="C51" s="80">
        <f t="shared" ref="C51:K51" si="2">C49+C48+C46+C45</f>
        <v>1884.0500000000002</v>
      </c>
      <c r="D51" s="80">
        <f t="shared" si="2"/>
        <v>1381.7599999999998</v>
      </c>
      <c r="E51" s="80">
        <f t="shared" si="2"/>
        <v>994.85</v>
      </c>
      <c r="F51" s="80">
        <f t="shared" si="2"/>
        <v>1043.6399999999999</v>
      </c>
      <c r="G51" s="80">
        <f t="shared" si="2"/>
        <v>1613.4800000000002</v>
      </c>
      <c r="H51" s="80">
        <f t="shared" si="2"/>
        <v>1393.2799999999997</v>
      </c>
      <c r="I51" s="80">
        <f t="shared" si="2"/>
        <v>1624.37</v>
      </c>
      <c r="J51" s="80">
        <f t="shared" si="2"/>
        <v>1324.14</v>
      </c>
      <c r="K51" s="80">
        <f t="shared" si="2"/>
        <v>1709.25</v>
      </c>
    </row>
    <row r="55" spans="1:11">
      <c r="A55" s="79" t="s">
        <v>179</v>
      </c>
    </row>
    <row r="56" spans="1:11" s="84" customFormat="1">
      <c r="A56" s="82" t="s">
        <v>164</v>
      </c>
      <c r="B56" s="83">
        <v>41364</v>
      </c>
      <c r="C56" s="83">
        <v>41729</v>
      </c>
      <c r="D56" s="83">
        <v>42094</v>
      </c>
      <c r="E56" s="83">
        <v>42460</v>
      </c>
      <c r="F56" s="83">
        <v>42825</v>
      </c>
      <c r="G56" s="83">
        <v>43190</v>
      </c>
      <c r="H56" s="83">
        <v>43555</v>
      </c>
      <c r="I56" s="83">
        <v>43921</v>
      </c>
      <c r="J56" s="83">
        <v>44286</v>
      </c>
      <c r="K56" s="83">
        <v>44651</v>
      </c>
    </row>
    <row r="57" spans="1:11">
      <c r="A57" s="80" t="s">
        <v>133</v>
      </c>
      <c r="B57" s="81">
        <v>95.92</v>
      </c>
      <c r="C57" s="81">
        <v>95.92</v>
      </c>
      <c r="D57" s="81">
        <v>95.92</v>
      </c>
      <c r="E57" s="81">
        <v>95.92</v>
      </c>
      <c r="F57" s="81">
        <v>95.92</v>
      </c>
      <c r="G57" s="81">
        <v>95.92</v>
      </c>
      <c r="H57" s="81">
        <v>95.92</v>
      </c>
      <c r="I57" s="81">
        <v>95.92</v>
      </c>
      <c r="J57" s="81">
        <v>95.92</v>
      </c>
      <c r="K57" s="81">
        <v>95.92</v>
      </c>
    </row>
    <row r="58" spans="1:11">
      <c r="A58" s="80" t="s">
        <v>134</v>
      </c>
      <c r="B58" s="81">
        <v>3288.37</v>
      </c>
      <c r="C58" s="81">
        <v>3943.3</v>
      </c>
      <c r="D58" s="81">
        <v>4646.4399999999996</v>
      </c>
      <c r="E58" s="81">
        <v>6428.9</v>
      </c>
      <c r="F58" s="81">
        <v>7507.97</v>
      </c>
      <c r="G58" s="81">
        <v>8314.31</v>
      </c>
      <c r="H58" s="81">
        <v>9374.6299999999992</v>
      </c>
      <c r="I58" s="81">
        <v>10034.24</v>
      </c>
      <c r="J58" s="81">
        <v>12710.37</v>
      </c>
      <c r="K58" s="81">
        <v>13715.64</v>
      </c>
    </row>
    <row r="59" spans="1:11" ht="15">
      <c r="A59" s="80" t="s">
        <v>135</v>
      </c>
      <c r="B59" s="85">
        <v>250.96</v>
      </c>
      <c r="C59" s="85">
        <v>249.15</v>
      </c>
      <c r="D59" s="85">
        <v>418.17</v>
      </c>
      <c r="E59" s="85">
        <v>323.29000000000002</v>
      </c>
      <c r="F59" s="85">
        <v>560.34</v>
      </c>
      <c r="G59" s="85">
        <v>533.42999999999995</v>
      </c>
      <c r="H59" s="85">
        <v>1319.6</v>
      </c>
      <c r="I59" s="85">
        <v>1118.5</v>
      </c>
      <c r="J59" s="85">
        <v>1093.1199999999999</v>
      </c>
      <c r="K59" s="85">
        <v>1586.88</v>
      </c>
    </row>
    <row r="60" spans="1:11">
      <c r="A60" s="80" t="s">
        <v>136</v>
      </c>
      <c r="B60" s="81">
        <v>3149.25</v>
      </c>
      <c r="C60" s="81">
        <v>3787.03</v>
      </c>
      <c r="D60" s="81">
        <v>3753.97</v>
      </c>
      <c r="E60" s="81">
        <v>3710.92</v>
      </c>
      <c r="F60" s="81">
        <v>4240.96</v>
      </c>
      <c r="G60" s="81">
        <v>4819.82</v>
      </c>
      <c r="H60" s="81">
        <v>5458.69</v>
      </c>
      <c r="I60" s="81">
        <v>4889.3100000000004</v>
      </c>
      <c r="J60" s="81">
        <v>6455.93</v>
      </c>
      <c r="K60" s="81">
        <v>7559.99</v>
      </c>
    </row>
    <row r="61" spans="1:11" s="79" customFormat="1">
      <c r="A61" s="79" t="s">
        <v>69</v>
      </c>
      <c r="B61" s="81">
        <v>6784.5</v>
      </c>
      <c r="C61" s="81">
        <v>8075.4</v>
      </c>
      <c r="D61" s="81">
        <v>8914.5</v>
      </c>
      <c r="E61" s="81">
        <v>10559.03</v>
      </c>
      <c r="F61" s="81">
        <v>12405.19</v>
      </c>
      <c r="G61" s="81">
        <v>13763.48</v>
      </c>
      <c r="H61" s="81">
        <v>16248.84</v>
      </c>
      <c r="I61" s="81">
        <v>16137.97</v>
      </c>
      <c r="J61" s="81">
        <v>20355.34</v>
      </c>
      <c r="K61" s="81">
        <v>22958.43</v>
      </c>
    </row>
    <row r="62" spans="1:11">
      <c r="A62" s="80" t="s">
        <v>180</v>
      </c>
      <c r="B62" s="81">
        <v>2440.9699999999998</v>
      </c>
      <c r="C62" s="81">
        <v>2561.58</v>
      </c>
      <c r="D62" s="81">
        <v>2660.04</v>
      </c>
      <c r="E62" s="81">
        <v>3416.35</v>
      </c>
      <c r="F62" s="81">
        <v>3303.74</v>
      </c>
      <c r="G62" s="81">
        <v>3732.24</v>
      </c>
      <c r="H62" s="81">
        <v>6496.56</v>
      </c>
      <c r="I62" s="81">
        <v>6272.31</v>
      </c>
      <c r="J62" s="81">
        <v>5858.52</v>
      </c>
      <c r="K62" s="81">
        <v>5519.06</v>
      </c>
    </row>
    <row r="63" spans="1:11">
      <c r="A63" s="80" t="s">
        <v>139</v>
      </c>
      <c r="B63" s="81">
        <v>59.21</v>
      </c>
      <c r="C63" s="81">
        <v>71.599999999999994</v>
      </c>
      <c r="D63" s="81">
        <v>196</v>
      </c>
      <c r="E63" s="81">
        <v>106.59</v>
      </c>
      <c r="F63" s="81">
        <v>257.54000000000002</v>
      </c>
      <c r="G63" s="81">
        <v>1405.11</v>
      </c>
      <c r="H63" s="81">
        <v>209.67</v>
      </c>
      <c r="I63" s="81">
        <v>140.24</v>
      </c>
      <c r="J63" s="81">
        <v>182.98</v>
      </c>
      <c r="K63" s="81">
        <v>426.43</v>
      </c>
    </row>
    <row r="64" spans="1:11" ht="15">
      <c r="A64" s="80" t="s">
        <v>140</v>
      </c>
      <c r="B64" s="81">
        <v>295.68</v>
      </c>
      <c r="C64" s="85">
        <v>1423.55</v>
      </c>
      <c r="D64" s="81">
        <v>1587.79</v>
      </c>
      <c r="E64" s="81">
        <v>2712.13</v>
      </c>
      <c r="F64" s="81">
        <v>2651.99</v>
      </c>
      <c r="G64" s="81">
        <v>2140.6999999999998</v>
      </c>
      <c r="H64" s="81">
        <v>2568.58</v>
      </c>
      <c r="I64" s="81">
        <v>2018.85</v>
      </c>
      <c r="J64" s="81">
        <v>4736.8</v>
      </c>
      <c r="K64" s="81">
        <v>3247.53</v>
      </c>
    </row>
    <row r="65" spans="1:11">
      <c r="A65" s="80" t="s">
        <v>141</v>
      </c>
      <c r="B65" s="81">
        <v>3988.64</v>
      </c>
      <c r="C65" s="81">
        <v>4018.67</v>
      </c>
      <c r="D65" s="81">
        <v>4470.67</v>
      </c>
      <c r="E65" s="81">
        <v>4323.96</v>
      </c>
      <c r="F65" s="81">
        <v>6191.92</v>
      </c>
      <c r="G65" s="81">
        <v>6485.43</v>
      </c>
      <c r="H65" s="81">
        <v>6974.03</v>
      </c>
      <c r="I65" s="81">
        <v>7706.57</v>
      </c>
      <c r="J65" s="81">
        <v>9577.0400000000009</v>
      </c>
      <c r="K65" s="81">
        <v>13765.41</v>
      </c>
    </row>
    <row r="66" spans="1:11" s="79" customFormat="1">
      <c r="A66" s="79" t="s">
        <v>69</v>
      </c>
      <c r="B66" s="81">
        <v>6784.5</v>
      </c>
      <c r="C66" s="81">
        <v>8075.4</v>
      </c>
      <c r="D66" s="81">
        <v>8914.5</v>
      </c>
      <c r="E66" s="81">
        <v>10559.03</v>
      </c>
      <c r="F66" s="81">
        <v>12405.19</v>
      </c>
      <c r="G66" s="81">
        <v>13763.48</v>
      </c>
      <c r="H66" s="81">
        <v>16248.84</v>
      </c>
      <c r="I66" s="81">
        <v>16137.97</v>
      </c>
      <c r="J66" s="81">
        <v>20355.34</v>
      </c>
      <c r="K66" s="81">
        <v>22958.43</v>
      </c>
    </row>
    <row r="67" spans="1:11">
      <c r="A67" s="80" t="s">
        <v>143</v>
      </c>
      <c r="B67" s="81">
        <v>980.88</v>
      </c>
      <c r="C67" s="81">
        <v>1110.3</v>
      </c>
      <c r="D67" s="81">
        <v>1182.07</v>
      </c>
      <c r="E67" s="81">
        <v>1186.8399999999999</v>
      </c>
      <c r="F67" s="81">
        <v>1446.6</v>
      </c>
      <c r="G67" s="81">
        <v>1730.63</v>
      </c>
      <c r="H67" s="81">
        <v>1907.33</v>
      </c>
      <c r="I67" s="81">
        <v>1795.22</v>
      </c>
      <c r="J67" s="81">
        <v>2602.17</v>
      </c>
      <c r="K67" s="81">
        <v>3871.44</v>
      </c>
    </row>
    <row r="68" spans="1:11" ht="15">
      <c r="A68" s="80" t="s">
        <v>144</v>
      </c>
      <c r="B68" s="85">
        <v>1830.29</v>
      </c>
      <c r="C68" s="85">
        <v>2069.86</v>
      </c>
      <c r="D68" s="85">
        <v>2258.52</v>
      </c>
      <c r="E68" s="85">
        <v>1998.24</v>
      </c>
      <c r="F68" s="85">
        <v>2626.94</v>
      </c>
      <c r="G68" s="85">
        <v>2658.31</v>
      </c>
      <c r="H68" s="85">
        <v>3149.86</v>
      </c>
      <c r="I68" s="85">
        <v>3389.81</v>
      </c>
      <c r="J68" s="85">
        <v>3798.6</v>
      </c>
      <c r="K68" s="85">
        <v>6152.98</v>
      </c>
    </row>
    <row r="69" spans="1:11">
      <c r="A69" s="80" t="s">
        <v>145</v>
      </c>
      <c r="B69" s="81">
        <v>736.69</v>
      </c>
      <c r="C69" s="81">
        <v>229</v>
      </c>
      <c r="D69" s="81">
        <v>204.39</v>
      </c>
      <c r="E69" s="81">
        <v>424.2</v>
      </c>
      <c r="F69" s="81">
        <v>801.21</v>
      </c>
      <c r="G69" s="81">
        <v>404.65</v>
      </c>
      <c r="H69" s="81">
        <v>444.88</v>
      </c>
      <c r="I69" s="81">
        <v>782.83</v>
      </c>
      <c r="J69" s="81">
        <v>610.75</v>
      </c>
      <c r="K69" s="81">
        <v>864.33</v>
      </c>
    </row>
    <row r="70" spans="1:11">
      <c r="A70" s="80" t="s">
        <v>181</v>
      </c>
      <c r="B70" s="81">
        <v>95919779</v>
      </c>
      <c r="C70" s="81">
        <v>959197800</v>
      </c>
      <c r="D70" s="81">
        <v>959197790</v>
      </c>
      <c r="E70" s="81">
        <v>959197790</v>
      </c>
      <c r="F70" s="81">
        <v>959197790</v>
      </c>
      <c r="G70" s="81">
        <v>959197790</v>
      </c>
      <c r="H70" s="81">
        <v>959197790</v>
      </c>
      <c r="I70" s="81">
        <v>959197790</v>
      </c>
      <c r="J70" s="81">
        <v>959197790</v>
      </c>
      <c r="K70" s="81">
        <v>959197790</v>
      </c>
    </row>
    <row r="71" spans="1:11" ht="14">
      <c r="A71" s="80" t="s">
        <v>182</v>
      </c>
      <c r="B71" s="87"/>
      <c r="C71" s="87"/>
      <c r="G71" s="87"/>
      <c r="H71" s="87"/>
    </row>
    <row r="72" spans="1:11">
      <c r="A72" s="80" t="s">
        <v>183</v>
      </c>
      <c r="B72" s="81">
        <v>10</v>
      </c>
      <c r="C72" s="81">
        <v>1</v>
      </c>
      <c r="D72" s="81">
        <v>1</v>
      </c>
      <c r="E72" s="81">
        <v>1</v>
      </c>
      <c r="F72" s="81">
        <v>1</v>
      </c>
      <c r="G72" s="81">
        <v>1</v>
      </c>
      <c r="H72" s="81">
        <v>1</v>
      </c>
      <c r="I72" s="81">
        <v>1</v>
      </c>
      <c r="J72" s="81">
        <v>1</v>
      </c>
      <c r="K72" s="81">
        <v>1</v>
      </c>
    </row>
    <row r="73" spans="1:11">
      <c r="H73" s="80">
        <f>H62-G62+H45</f>
        <v>2969.4300000000007</v>
      </c>
      <c r="I73" s="80">
        <f t="shared" ref="I73:K73" si="3">I62-H62+I45</f>
        <v>-16.150000000000006</v>
      </c>
      <c r="J73" s="80">
        <f t="shared" si="3"/>
        <v>-198.08999999999997</v>
      </c>
      <c r="K73" s="80">
        <f t="shared" si="3"/>
        <v>-125.41000000000003</v>
      </c>
    </row>
    <row r="80" spans="1:11">
      <c r="A80" s="79" t="s">
        <v>184</v>
      </c>
    </row>
    <row r="81" spans="1:12" s="84" customFormat="1">
      <c r="A81" s="82" t="s">
        <v>164</v>
      </c>
      <c r="B81" s="83">
        <v>41364</v>
      </c>
      <c r="C81" s="83">
        <v>41729</v>
      </c>
      <c r="D81" s="83">
        <v>42094</v>
      </c>
      <c r="E81" s="83">
        <v>42460</v>
      </c>
      <c r="F81" s="83">
        <v>42825</v>
      </c>
      <c r="G81" s="83">
        <v>43190</v>
      </c>
      <c r="H81" s="83">
        <v>43555</v>
      </c>
      <c r="I81" s="83">
        <v>43921</v>
      </c>
      <c r="J81" s="83">
        <v>44286</v>
      </c>
      <c r="K81" s="83">
        <v>44651</v>
      </c>
      <c r="L81" s="83"/>
    </row>
    <row r="82" spans="1:12" s="79" customFormat="1">
      <c r="A82" s="80" t="s">
        <v>185</v>
      </c>
      <c r="B82" s="81">
        <v>1186.79</v>
      </c>
      <c r="C82" s="81">
        <v>1402.03</v>
      </c>
      <c r="D82" s="81">
        <v>1187.69</v>
      </c>
      <c r="E82" s="81">
        <v>2242.9499999999998</v>
      </c>
      <c r="F82" s="81">
        <v>1527.33</v>
      </c>
      <c r="G82" s="81">
        <v>2113.44</v>
      </c>
      <c r="H82" s="81">
        <v>2469.54</v>
      </c>
      <c r="I82" s="81">
        <v>3038.15</v>
      </c>
      <c r="J82" s="81">
        <v>3683.35</v>
      </c>
      <c r="K82" s="81">
        <v>986.49</v>
      </c>
    </row>
    <row r="83" spans="1:12">
      <c r="A83" s="80" t="s">
        <v>186</v>
      </c>
      <c r="B83" s="81">
        <v>-463.2</v>
      </c>
      <c r="C83" s="81">
        <v>-585.99</v>
      </c>
      <c r="D83" s="81">
        <v>-464.99</v>
      </c>
      <c r="E83" s="81">
        <v>-866.21</v>
      </c>
      <c r="F83" s="81">
        <v>-681.11</v>
      </c>
      <c r="G83" s="81">
        <v>-1556.14</v>
      </c>
      <c r="H83" s="81">
        <v>-917.79</v>
      </c>
      <c r="I83" s="81">
        <v>-517.91</v>
      </c>
      <c r="J83" s="81">
        <v>-540.54</v>
      </c>
      <c r="K83" s="81">
        <v>-316.75</v>
      </c>
    </row>
    <row r="84" spans="1:12">
      <c r="A84" s="80" t="s">
        <v>187</v>
      </c>
      <c r="B84" s="81">
        <v>-601</v>
      </c>
      <c r="C84" s="81">
        <v>-625.91</v>
      </c>
      <c r="D84" s="81">
        <v>-576.09</v>
      </c>
      <c r="E84" s="81">
        <v>-848.98</v>
      </c>
      <c r="F84" s="81">
        <v>-756.43</v>
      </c>
      <c r="G84" s="81">
        <v>-1379.14</v>
      </c>
      <c r="H84" s="81">
        <v>-1117.46</v>
      </c>
      <c r="I84" s="81">
        <v>-2871.46</v>
      </c>
      <c r="J84" s="81">
        <v>-650.4</v>
      </c>
      <c r="K84" s="81">
        <v>-1807.61</v>
      </c>
    </row>
    <row r="85" spans="1:12" s="79" customFormat="1">
      <c r="A85" s="80" t="s">
        <v>153</v>
      </c>
      <c r="B85" s="81">
        <v>122.59</v>
      </c>
      <c r="C85" s="81">
        <v>190.13</v>
      </c>
      <c r="D85" s="81">
        <v>146.61000000000001</v>
      </c>
      <c r="E85" s="81">
        <v>527.76</v>
      </c>
      <c r="F85" s="81">
        <v>89.79</v>
      </c>
      <c r="G85" s="81">
        <v>-821.84</v>
      </c>
      <c r="H85" s="81">
        <v>434.29</v>
      </c>
      <c r="I85" s="81">
        <v>-351.22</v>
      </c>
      <c r="J85" s="81">
        <v>2492.41</v>
      </c>
      <c r="K85" s="81">
        <v>-1137.8699999999999</v>
      </c>
    </row>
    <row r="90" spans="1:12" s="79" customFormat="1">
      <c r="A90" s="79" t="s">
        <v>188</v>
      </c>
      <c r="B90" s="81">
        <v>491.73</v>
      </c>
      <c r="C90" s="81">
        <v>547.95000000000005</v>
      </c>
      <c r="D90" s="81">
        <v>811.3</v>
      </c>
      <c r="E90" s="81">
        <v>868.4</v>
      </c>
      <c r="F90" s="81">
        <v>1073.5</v>
      </c>
      <c r="G90" s="81">
        <v>1120.4000000000001</v>
      </c>
      <c r="H90" s="81">
        <v>1492.7</v>
      </c>
      <c r="I90" s="81">
        <v>1666.5</v>
      </c>
      <c r="J90" s="81">
        <v>2537.4</v>
      </c>
      <c r="K90" s="81">
        <v>3079.95</v>
      </c>
    </row>
    <row r="92" spans="1:12" s="79" customFormat="1">
      <c r="A92" s="79" t="s">
        <v>189</v>
      </c>
    </row>
    <row r="93" spans="1:12">
      <c r="A93" s="80" t="s">
        <v>190</v>
      </c>
      <c r="B93" s="88">
        <v>95.92</v>
      </c>
      <c r="C93" s="88">
        <v>95.92</v>
      </c>
      <c r="D93" s="88">
        <v>95.92</v>
      </c>
      <c r="E93" s="88">
        <v>95.92</v>
      </c>
      <c r="F93" s="88">
        <v>95.92</v>
      </c>
      <c r="G93" s="88">
        <v>95.92</v>
      </c>
      <c r="H93" s="88">
        <v>95.92</v>
      </c>
      <c r="I93" s="88">
        <v>95.92</v>
      </c>
      <c r="J93" s="88">
        <v>95.92</v>
      </c>
      <c r="K93" s="88">
        <v>95.92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C03866C7-AB34-441B-ACAE-C23DCFBCDD3D}"/>
  </hyperlinks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355B1-9469-4E1B-8CE5-647380F64976}">
  <dimension ref="B2:N70"/>
  <sheetViews>
    <sheetView showGridLines="0" topLeftCell="A2" workbookViewId="0">
      <pane ySplit="1" topLeftCell="A6" activePane="bottomLeft" state="frozen"/>
      <selection activeCell="A2" sqref="A2"/>
      <selection pane="bottomLeft" activeCell="C73" sqref="C2:D73"/>
    </sheetView>
  </sheetViews>
  <sheetFormatPr baseColWidth="10" defaultColWidth="8.83203125" defaultRowHeight="15"/>
  <cols>
    <col min="1" max="1" width="1.83203125" customWidth="1"/>
    <col min="2" max="2" width="35.5" bestFit="1" customWidth="1"/>
  </cols>
  <sheetData>
    <row r="2" spans="2:14">
      <c r="B2" s="53" t="s">
        <v>220</v>
      </c>
      <c r="C2" s="90">
        <v>40603</v>
      </c>
      <c r="D2" s="90">
        <v>40969</v>
      </c>
      <c r="E2" s="90">
        <v>41334</v>
      </c>
      <c r="F2" s="90">
        <v>41699</v>
      </c>
      <c r="G2" s="90">
        <v>42064</v>
      </c>
      <c r="H2" s="90">
        <v>42430</v>
      </c>
      <c r="I2" s="90">
        <v>42795</v>
      </c>
      <c r="J2" s="90">
        <v>43160</v>
      </c>
      <c r="K2" s="90">
        <v>43525</v>
      </c>
      <c r="L2" s="90">
        <v>43891</v>
      </c>
      <c r="M2" s="90">
        <v>44256</v>
      </c>
      <c r="N2" s="90">
        <v>44621</v>
      </c>
    </row>
    <row r="3" spans="2:14">
      <c r="B3" s="64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</row>
    <row r="4" spans="2:14">
      <c r="B4" s="2" t="s">
        <v>191</v>
      </c>
      <c r="C4" s="95">
        <v>96</v>
      </c>
      <c r="D4" s="95">
        <v>96</v>
      </c>
      <c r="E4" s="95">
        <v>96</v>
      </c>
      <c r="F4" s="95">
        <v>96</v>
      </c>
      <c r="G4" s="95">
        <v>96</v>
      </c>
      <c r="H4" s="95">
        <v>96</v>
      </c>
      <c r="I4" s="95">
        <v>96</v>
      </c>
      <c r="J4" s="95">
        <v>96</v>
      </c>
      <c r="K4" s="95">
        <v>96</v>
      </c>
      <c r="L4" s="95">
        <v>96</v>
      </c>
      <c r="M4" s="95">
        <v>96</v>
      </c>
      <c r="N4" s="95">
        <v>96</v>
      </c>
    </row>
    <row r="5" spans="2:14">
      <c r="B5" s="2" t="s">
        <v>134</v>
      </c>
      <c r="C5" s="95">
        <v>2092</v>
      </c>
      <c r="D5" s="95">
        <v>2653</v>
      </c>
      <c r="E5" s="95">
        <v>3288</v>
      </c>
      <c r="F5" s="95">
        <v>3943</v>
      </c>
      <c r="G5" s="95">
        <v>4646</v>
      </c>
      <c r="H5" s="95">
        <v>6429</v>
      </c>
      <c r="I5" s="95">
        <v>7508</v>
      </c>
      <c r="J5" s="95">
        <v>8314</v>
      </c>
      <c r="K5" s="95">
        <v>9375</v>
      </c>
      <c r="L5" s="95">
        <v>10034</v>
      </c>
      <c r="M5" s="95">
        <v>12710</v>
      </c>
      <c r="N5" s="95">
        <v>13716</v>
      </c>
    </row>
    <row r="6" spans="2:14">
      <c r="B6" s="2" t="s">
        <v>192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</row>
    <row r="7" spans="2:14">
      <c r="B7" t="s">
        <v>193</v>
      </c>
      <c r="C7" s="95">
        <v>58</v>
      </c>
      <c r="D7" s="95">
        <v>55</v>
      </c>
      <c r="E7" s="95">
        <v>47</v>
      </c>
      <c r="F7" s="95">
        <v>41</v>
      </c>
      <c r="G7" s="95">
        <v>78</v>
      </c>
      <c r="H7" s="95">
        <v>73</v>
      </c>
      <c r="I7" s="95">
        <v>41</v>
      </c>
      <c r="J7" s="95">
        <v>28</v>
      </c>
      <c r="K7" s="95">
        <v>19</v>
      </c>
      <c r="L7" s="95">
        <v>19</v>
      </c>
      <c r="M7" s="95">
        <v>15</v>
      </c>
      <c r="N7" s="95">
        <v>45</v>
      </c>
    </row>
    <row r="8" spans="2:14">
      <c r="B8" t="s">
        <v>194</v>
      </c>
      <c r="C8" s="95">
        <v>171</v>
      </c>
      <c r="D8" s="95">
        <v>280</v>
      </c>
      <c r="E8" s="95">
        <v>190</v>
      </c>
      <c r="F8" s="95">
        <v>199</v>
      </c>
      <c r="G8" s="95">
        <v>332</v>
      </c>
      <c r="H8" s="95">
        <v>231</v>
      </c>
      <c r="I8" s="95">
        <v>504</v>
      </c>
      <c r="J8" s="95">
        <v>492</v>
      </c>
      <c r="K8" s="95">
        <v>597</v>
      </c>
      <c r="L8" s="95">
        <v>321</v>
      </c>
      <c r="M8" s="95">
        <v>334</v>
      </c>
      <c r="N8" s="95">
        <v>731</v>
      </c>
    </row>
    <row r="9" spans="2:14">
      <c r="B9" t="s">
        <v>195</v>
      </c>
      <c r="C9" s="95">
        <v>0</v>
      </c>
      <c r="D9" s="95">
        <v>0</v>
      </c>
      <c r="E9" s="95">
        <v>0</v>
      </c>
      <c r="F9" s="95">
        <v>0</v>
      </c>
      <c r="G9" s="95">
        <v>0</v>
      </c>
      <c r="H9" s="95">
        <v>0</v>
      </c>
      <c r="I9" s="95">
        <v>0</v>
      </c>
      <c r="J9" s="95">
        <v>0</v>
      </c>
      <c r="K9" s="95">
        <v>693</v>
      </c>
      <c r="L9" s="95">
        <v>764</v>
      </c>
      <c r="M9" s="95">
        <v>745</v>
      </c>
      <c r="N9" s="95">
        <v>811</v>
      </c>
    </row>
    <row r="10" spans="2:14">
      <c r="B10" t="s">
        <v>196</v>
      </c>
      <c r="C10" s="95">
        <v>4</v>
      </c>
      <c r="D10" s="95">
        <v>6</v>
      </c>
      <c r="E10" s="95">
        <v>14</v>
      </c>
      <c r="F10" s="95">
        <v>9</v>
      </c>
      <c r="G10" s="95">
        <v>8</v>
      </c>
      <c r="H10" s="95">
        <v>20</v>
      </c>
      <c r="I10" s="95">
        <v>15</v>
      </c>
      <c r="J10" s="95">
        <v>13</v>
      </c>
      <c r="K10" s="95">
        <v>11</v>
      </c>
      <c r="L10" s="95">
        <v>15</v>
      </c>
      <c r="M10" s="95">
        <v>0</v>
      </c>
      <c r="N10" s="95">
        <v>0</v>
      </c>
    </row>
    <row r="11" spans="2:14">
      <c r="B11" s="2" t="s">
        <v>197</v>
      </c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</row>
    <row r="12" spans="2:14">
      <c r="B12" t="s">
        <v>198</v>
      </c>
      <c r="C12" s="95">
        <v>110</v>
      </c>
      <c r="D12" s="95">
        <v>137</v>
      </c>
      <c r="E12" s="95">
        <v>161</v>
      </c>
      <c r="F12" s="95">
        <v>246</v>
      </c>
      <c r="G12" s="95">
        <v>264</v>
      </c>
      <c r="H12" s="95">
        <v>384</v>
      </c>
      <c r="I12" s="95">
        <v>375</v>
      </c>
      <c r="J12" s="95">
        <v>328</v>
      </c>
      <c r="K12" s="95">
        <v>361</v>
      </c>
      <c r="L12" s="95">
        <v>404</v>
      </c>
      <c r="M12" s="95">
        <v>423</v>
      </c>
      <c r="N12" s="95">
        <v>388</v>
      </c>
    </row>
    <row r="13" spans="2:14">
      <c r="B13" t="s">
        <v>199</v>
      </c>
      <c r="C13" s="95">
        <v>1087</v>
      </c>
      <c r="D13" s="95">
        <v>1333</v>
      </c>
      <c r="E13" s="95">
        <v>1442</v>
      </c>
      <c r="F13" s="95">
        <v>1746</v>
      </c>
      <c r="G13" s="95">
        <v>1549</v>
      </c>
      <c r="H13" s="95">
        <v>1565</v>
      </c>
      <c r="I13" s="95">
        <v>1923</v>
      </c>
      <c r="J13" s="95">
        <v>2160</v>
      </c>
      <c r="K13" s="95">
        <v>2394</v>
      </c>
      <c r="L13" s="95">
        <v>2137</v>
      </c>
      <c r="M13" s="95">
        <v>3379</v>
      </c>
      <c r="N13" s="95">
        <v>4164</v>
      </c>
    </row>
    <row r="14" spans="2:14">
      <c r="B14" t="s">
        <v>200</v>
      </c>
      <c r="C14" s="95">
        <v>0</v>
      </c>
      <c r="D14" s="95">
        <v>0</v>
      </c>
      <c r="E14" s="95">
        <v>0</v>
      </c>
      <c r="F14" s="95">
        <v>0</v>
      </c>
      <c r="G14" s="95">
        <v>5</v>
      </c>
      <c r="H14" s="95">
        <v>12</v>
      </c>
      <c r="I14" s="95">
        <v>17</v>
      </c>
      <c r="J14" s="95">
        <v>16</v>
      </c>
      <c r="K14" s="95">
        <v>13</v>
      </c>
      <c r="L14" s="95">
        <v>29</v>
      </c>
      <c r="M14" s="95">
        <v>41</v>
      </c>
      <c r="N14" s="95">
        <v>76</v>
      </c>
    </row>
    <row r="15" spans="2:14">
      <c r="B15" t="s">
        <v>201</v>
      </c>
      <c r="C15" s="96">
        <v>992</v>
      </c>
      <c r="D15" s="96">
        <v>1153</v>
      </c>
      <c r="E15" s="96">
        <v>1547</v>
      </c>
      <c r="F15" s="96">
        <v>1795</v>
      </c>
      <c r="G15" s="96">
        <v>1937</v>
      </c>
      <c r="H15" s="96">
        <v>1750</v>
      </c>
      <c r="I15" s="96">
        <v>1925</v>
      </c>
      <c r="J15" s="96">
        <v>2316</v>
      </c>
      <c r="K15" s="96">
        <v>2690</v>
      </c>
      <c r="L15" s="96">
        <v>2320</v>
      </c>
      <c r="M15" s="96">
        <v>2613</v>
      </c>
      <c r="N15" s="96">
        <v>2932</v>
      </c>
    </row>
    <row r="16" spans="2:14">
      <c r="B16" s="93" t="s">
        <v>137</v>
      </c>
      <c r="C16" s="93">
        <v>4611</v>
      </c>
      <c r="D16" s="93">
        <v>5712</v>
      </c>
      <c r="E16" s="93">
        <v>6784</v>
      </c>
      <c r="F16" s="93">
        <v>8075</v>
      </c>
      <c r="G16" s="93">
        <v>8914</v>
      </c>
      <c r="H16" s="93">
        <v>10559</v>
      </c>
      <c r="I16" s="93">
        <v>12405</v>
      </c>
      <c r="J16" s="93">
        <v>13763</v>
      </c>
      <c r="K16" s="93">
        <v>16249</v>
      </c>
      <c r="L16" s="93">
        <v>16138</v>
      </c>
      <c r="M16" s="93">
        <v>20355</v>
      </c>
      <c r="N16" s="93">
        <v>22958</v>
      </c>
    </row>
    <row r="17" spans="2:14"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</row>
    <row r="18" spans="2:14">
      <c r="B18" s="2" t="s">
        <v>202</v>
      </c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</row>
    <row r="19" spans="2:14">
      <c r="B19" t="s">
        <v>203</v>
      </c>
      <c r="C19" s="95">
        <v>220</v>
      </c>
      <c r="D19" s="95">
        <v>225</v>
      </c>
      <c r="E19" s="95">
        <v>238</v>
      </c>
      <c r="F19" s="95">
        <v>247</v>
      </c>
      <c r="G19" s="95">
        <v>251</v>
      </c>
      <c r="H19" s="95">
        <v>429</v>
      </c>
      <c r="I19" s="95">
        <v>408</v>
      </c>
      <c r="J19" s="95">
        <v>586</v>
      </c>
      <c r="K19" s="95">
        <v>605</v>
      </c>
      <c r="L19" s="95">
        <v>640</v>
      </c>
      <c r="M19" s="95">
        <v>644</v>
      </c>
      <c r="N19" s="95">
        <v>644</v>
      </c>
    </row>
    <row r="20" spans="2:14">
      <c r="B20" t="s">
        <v>204</v>
      </c>
      <c r="C20" s="95">
        <v>553</v>
      </c>
      <c r="D20" s="95">
        <v>573</v>
      </c>
      <c r="E20" s="95">
        <v>874</v>
      </c>
      <c r="F20" s="95">
        <v>931</v>
      </c>
      <c r="G20" s="95">
        <v>962</v>
      </c>
      <c r="H20" s="95">
        <v>923</v>
      </c>
      <c r="I20" s="95">
        <v>931</v>
      </c>
      <c r="J20" s="95">
        <v>957</v>
      </c>
      <c r="K20" s="95">
        <v>2402</v>
      </c>
      <c r="L20" s="95">
        <v>2257</v>
      </c>
      <c r="M20" s="95">
        <v>2249</v>
      </c>
      <c r="N20" s="95">
        <v>2325</v>
      </c>
    </row>
    <row r="21" spans="2:14">
      <c r="B21" t="s">
        <v>205</v>
      </c>
      <c r="C21" s="95">
        <v>1011</v>
      </c>
      <c r="D21" s="95">
        <v>1070</v>
      </c>
      <c r="E21" s="95">
        <v>1956</v>
      </c>
      <c r="F21" s="95">
        <v>2054</v>
      </c>
      <c r="G21" s="95">
        <v>2132</v>
      </c>
      <c r="H21" s="95">
        <v>1793</v>
      </c>
      <c r="I21" s="95">
        <v>1980</v>
      </c>
      <c r="J21" s="95">
        <v>2157</v>
      </c>
      <c r="K21" s="95">
        <v>4006</v>
      </c>
      <c r="L21" s="95">
        <v>4208</v>
      </c>
      <c r="M21" s="95">
        <v>4340</v>
      </c>
      <c r="N21" s="95">
        <v>4531</v>
      </c>
    </row>
    <row r="22" spans="2:14">
      <c r="B22" t="s">
        <v>206</v>
      </c>
      <c r="C22" s="95">
        <v>66</v>
      </c>
      <c r="D22" s="95">
        <v>79</v>
      </c>
      <c r="E22" s="95">
        <v>137</v>
      </c>
      <c r="F22" s="95">
        <v>155</v>
      </c>
      <c r="G22" s="95">
        <v>171</v>
      </c>
      <c r="H22" s="95">
        <v>97</v>
      </c>
      <c r="I22" s="95">
        <v>119</v>
      </c>
      <c r="J22" s="95">
        <v>200</v>
      </c>
      <c r="K22" s="95">
        <v>221</v>
      </c>
      <c r="L22" s="95">
        <v>241</v>
      </c>
      <c r="M22" s="95">
        <v>243</v>
      </c>
      <c r="N22" s="95">
        <v>253</v>
      </c>
    </row>
    <row r="23" spans="2:14">
      <c r="B23" t="s">
        <v>207</v>
      </c>
      <c r="C23" s="95">
        <v>45</v>
      </c>
      <c r="D23" s="95">
        <v>50</v>
      </c>
      <c r="E23" s="95">
        <v>57</v>
      </c>
      <c r="F23" s="95">
        <v>71</v>
      </c>
      <c r="G23" s="95">
        <v>83</v>
      </c>
      <c r="H23" s="95">
        <v>49</v>
      </c>
      <c r="I23" s="95">
        <v>59</v>
      </c>
      <c r="J23" s="95">
        <v>72</v>
      </c>
      <c r="K23" s="95">
        <v>88</v>
      </c>
      <c r="L23" s="95">
        <v>94</v>
      </c>
      <c r="M23" s="95">
        <v>99</v>
      </c>
      <c r="N23" s="95">
        <v>113</v>
      </c>
    </row>
    <row r="24" spans="2:14">
      <c r="B24" t="s">
        <v>208</v>
      </c>
      <c r="C24" s="95">
        <v>9</v>
      </c>
      <c r="D24" s="95">
        <v>11</v>
      </c>
      <c r="E24" s="95">
        <v>11</v>
      </c>
      <c r="F24" s="95">
        <v>14</v>
      </c>
      <c r="G24" s="95">
        <v>18</v>
      </c>
      <c r="H24" s="95">
        <v>11</v>
      </c>
      <c r="I24" s="95">
        <v>14</v>
      </c>
      <c r="J24" s="95">
        <v>27</v>
      </c>
      <c r="K24" s="95">
        <v>47</v>
      </c>
      <c r="L24" s="95">
        <v>43</v>
      </c>
      <c r="M24" s="95">
        <v>38</v>
      </c>
      <c r="N24" s="95">
        <v>32</v>
      </c>
    </row>
    <row r="25" spans="2:14">
      <c r="B25" t="s">
        <v>209</v>
      </c>
      <c r="C25" s="95">
        <v>59</v>
      </c>
      <c r="D25" s="95">
        <v>53</v>
      </c>
      <c r="E25" s="95">
        <v>57</v>
      </c>
      <c r="F25" s="95">
        <v>203</v>
      </c>
      <c r="G25" s="95">
        <v>351</v>
      </c>
      <c r="H25" s="95">
        <v>339</v>
      </c>
      <c r="I25" s="95">
        <v>276</v>
      </c>
      <c r="J25" s="95">
        <v>468</v>
      </c>
      <c r="K25" s="95">
        <v>512</v>
      </c>
      <c r="L25" s="95">
        <v>505</v>
      </c>
      <c r="M25" s="95">
        <v>476</v>
      </c>
      <c r="N25" s="95">
        <v>411</v>
      </c>
    </row>
    <row r="26" spans="2:14">
      <c r="B26" t="s">
        <v>210</v>
      </c>
      <c r="C26" s="95">
        <v>62</v>
      </c>
      <c r="D26" s="95">
        <v>84</v>
      </c>
      <c r="E26" s="95">
        <v>99</v>
      </c>
      <c r="F26" s="95">
        <v>128</v>
      </c>
      <c r="G26" s="95">
        <v>145</v>
      </c>
      <c r="H26" s="95">
        <v>103</v>
      </c>
      <c r="I26" s="95">
        <v>128</v>
      </c>
      <c r="J26" s="95">
        <v>238</v>
      </c>
      <c r="K26" s="95">
        <v>261</v>
      </c>
      <c r="L26" s="95">
        <v>293</v>
      </c>
      <c r="M26" s="95">
        <v>302</v>
      </c>
      <c r="N26" s="95">
        <v>294</v>
      </c>
    </row>
    <row r="27" spans="2:14">
      <c r="B27" s="2" t="s">
        <v>211</v>
      </c>
      <c r="C27" s="97">
        <v>2025</v>
      </c>
      <c r="D27" s="97">
        <v>2146</v>
      </c>
      <c r="E27" s="97">
        <v>3429</v>
      </c>
      <c r="F27" s="97">
        <v>3804</v>
      </c>
      <c r="G27" s="97">
        <v>4112</v>
      </c>
      <c r="H27" s="97">
        <v>3744</v>
      </c>
      <c r="I27" s="97">
        <v>3914</v>
      </c>
      <c r="J27" s="97">
        <v>4705</v>
      </c>
      <c r="K27" s="97">
        <v>8141</v>
      </c>
      <c r="L27" s="97">
        <v>8282</v>
      </c>
      <c r="M27" s="97">
        <v>8392</v>
      </c>
      <c r="N27" s="97">
        <v>8604</v>
      </c>
    </row>
    <row r="28" spans="2:14">
      <c r="B28" s="2" t="s">
        <v>212</v>
      </c>
      <c r="C28" s="96">
        <v>704</v>
      </c>
      <c r="D28" s="96">
        <v>834</v>
      </c>
      <c r="E28" s="96">
        <v>979</v>
      </c>
      <c r="F28" s="96">
        <v>1223</v>
      </c>
      <c r="G28" s="96">
        <v>1438</v>
      </c>
      <c r="H28" s="96">
        <v>275</v>
      </c>
      <c r="I28" s="96">
        <v>610</v>
      </c>
      <c r="J28" s="96">
        <v>973</v>
      </c>
      <c r="K28" s="96">
        <v>1592</v>
      </c>
      <c r="L28" s="96">
        <v>2010</v>
      </c>
      <c r="M28" s="96">
        <v>2533</v>
      </c>
      <c r="N28" s="96">
        <v>3085</v>
      </c>
    </row>
    <row r="29" spans="2:14">
      <c r="B29" s="98" t="s">
        <v>180</v>
      </c>
      <c r="C29" s="99">
        <f>C27-C28</f>
        <v>1321</v>
      </c>
      <c r="D29" s="99">
        <f t="shared" ref="D29:N29" si="0">D27-D28</f>
        <v>1312</v>
      </c>
      <c r="E29" s="99">
        <f t="shared" si="0"/>
        <v>2450</v>
      </c>
      <c r="F29" s="99">
        <f t="shared" si="0"/>
        <v>2581</v>
      </c>
      <c r="G29" s="99">
        <f t="shared" si="0"/>
        <v>2674</v>
      </c>
      <c r="H29" s="99">
        <f t="shared" si="0"/>
        <v>3469</v>
      </c>
      <c r="I29" s="99">
        <f t="shared" si="0"/>
        <v>3304</v>
      </c>
      <c r="J29" s="99">
        <f t="shared" si="0"/>
        <v>3732</v>
      </c>
      <c r="K29" s="99">
        <f t="shared" si="0"/>
        <v>6549</v>
      </c>
      <c r="L29" s="99">
        <f t="shared" si="0"/>
        <v>6272</v>
      </c>
      <c r="M29" s="99">
        <f t="shared" si="0"/>
        <v>5859</v>
      </c>
      <c r="N29" s="99">
        <f t="shared" si="0"/>
        <v>5519</v>
      </c>
    </row>
    <row r="30" spans="2:14">
      <c r="B30" s="2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</row>
    <row r="31" spans="2:14">
      <c r="B31" s="2" t="s">
        <v>213</v>
      </c>
      <c r="C31" s="95">
        <v>43</v>
      </c>
      <c r="D31" s="95">
        <v>617</v>
      </c>
      <c r="E31" s="95">
        <v>59</v>
      </c>
      <c r="F31" s="95">
        <v>72</v>
      </c>
      <c r="G31" s="95">
        <v>196</v>
      </c>
      <c r="H31" s="95">
        <v>107</v>
      </c>
      <c r="I31" s="95">
        <v>258</v>
      </c>
      <c r="J31" s="95">
        <v>1405</v>
      </c>
      <c r="K31" s="95">
        <v>210</v>
      </c>
      <c r="L31" s="95">
        <v>140</v>
      </c>
      <c r="M31" s="95">
        <v>183</v>
      </c>
      <c r="N31" s="95">
        <v>426</v>
      </c>
    </row>
    <row r="32" spans="2:14">
      <c r="B32" s="2" t="s">
        <v>140</v>
      </c>
      <c r="C32" s="95">
        <v>429</v>
      </c>
      <c r="D32" s="95">
        <v>355</v>
      </c>
      <c r="E32" s="95">
        <v>296</v>
      </c>
      <c r="F32" s="95">
        <v>1424</v>
      </c>
      <c r="G32" s="95">
        <v>1588</v>
      </c>
      <c r="H32" s="95">
        <v>2712</v>
      </c>
      <c r="I32" s="95">
        <v>2652</v>
      </c>
      <c r="J32" s="95">
        <v>2141</v>
      </c>
      <c r="K32" s="95">
        <v>2569</v>
      </c>
      <c r="L32" s="95">
        <v>2019</v>
      </c>
      <c r="M32" s="95">
        <v>4737</v>
      </c>
      <c r="N32" s="95">
        <v>3248</v>
      </c>
    </row>
    <row r="33" spans="2:14">
      <c r="B33" s="2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</row>
    <row r="34" spans="2:14">
      <c r="B34" s="2" t="s">
        <v>214</v>
      </c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</row>
    <row r="35" spans="2:14">
      <c r="B35" t="s">
        <v>215</v>
      </c>
      <c r="C35" s="95">
        <v>1305</v>
      </c>
      <c r="D35" s="95">
        <v>1599</v>
      </c>
      <c r="E35" s="95">
        <v>1830</v>
      </c>
      <c r="F35" s="95">
        <v>2070</v>
      </c>
      <c r="G35" s="95">
        <v>2259</v>
      </c>
      <c r="H35" s="95">
        <v>1998</v>
      </c>
      <c r="I35" s="95">
        <v>2627</v>
      </c>
      <c r="J35" s="95">
        <v>2658</v>
      </c>
      <c r="K35" s="95">
        <v>3150</v>
      </c>
      <c r="L35" s="95">
        <v>3390</v>
      </c>
      <c r="M35" s="95">
        <v>3799</v>
      </c>
      <c r="N35" s="95">
        <v>6153</v>
      </c>
    </row>
    <row r="36" spans="2:14">
      <c r="B36" t="s">
        <v>216</v>
      </c>
      <c r="C36" s="95">
        <v>573</v>
      </c>
      <c r="D36" s="95">
        <v>781</v>
      </c>
      <c r="E36" s="95">
        <v>981</v>
      </c>
      <c r="F36" s="95">
        <v>1110</v>
      </c>
      <c r="G36" s="95">
        <v>1182</v>
      </c>
      <c r="H36" s="95">
        <v>1187</v>
      </c>
      <c r="I36" s="95">
        <v>1447</v>
      </c>
      <c r="J36" s="95">
        <v>1731</v>
      </c>
      <c r="K36" s="95">
        <v>1907</v>
      </c>
      <c r="L36" s="95">
        <v>1795</v>
      </c>
      <c r="M36" s="95">
        <v>2602</v>
      </c>
      <c r="N36" s="95">
        <v>3871</v>
      </c>
    </row>
    <row r="37" spans="2:14">
      <c r="B37" t="s">
        <v>217</v>
      </c>
      <c r="C37" s="95">
        <v>626</v>
      </c>
      <c r="D37" s="95">
        <v>624</v>
      </c>
      <c r="E37" s="95">
        <v>737</v>
      </c>
      <c r="F37" s="95">
        <v>229</v>
      </c>
      <c r="G37" s="95">
        <v>204</v>
      </c>
      <c r="H37" s="95">
        <v>424</v>
      </c>
      <c r="I37" s="95">
        <v>801</v>
      </c>
      <c r="J37" s="95">
        <v>405</v>
      </c>
      <c r="K37" s="95">
        <v>445</v>
      </c>
      <c r="L37" s="95">
        <v>783</v>
      </c>
      <c r="M37" s="95">
        <v>611</v>
      </c>
      <c r="N37" s="95">
        <v>864</v>
      </c>
    </row>
    <row r="38" spans="2:14">
      <c r="B38" t="s">
        <v>218</v>
      </c>
      <c r="C38" s="95">
        <v>229</v>
      </c>
      <c r="D38" s="95">
        <v>249</v>
      </c>
      <c r="E38" s="95">
        <v>353</v>
      </c>
      <c r="F38" s="95">
        <v>496</v>
      </c>
      <c r="G38" s="95">
        <v>574</v>
      </c>
      <c r="H38" s="95">
        <v>606</v>
      </c>
      <c r="I38" s="95">
        <v>807</v>
      </c>
      <c r="J38" s="95">
        <v>1141</v>
      </c>
      <c r="K38" s="95">
        <v>1058</v>
      </c>
      <c r="L38" s="95">
        <v>1177</v>
      </c>
      <c r="M38" s="95">
        <v>1846</v>
      </c>
      <c r="N38" s="95">
        <v>2216</v>
      </c>
    </row>
    <row r="39" spans="2:14">
      <c r="B39" t="s">
        <v>219</v>
      </c>
      <c r="C39" s="100">
        <v>94</v>
      </c>
      <c r="D39" s="100">
        <v>186</v>
      </c>
      <c r="E39" s="100">
        <v>87</v>
      </c>
      <c r="F39" s="100">
        <v>113</v>
      </c>
      <c r="G39" s="100">
        <v>252</v>
      </c>
      <c r="H39" s="100">
        <v>109</v>
      </c>
      <c r="I39" s="100">
        <v>510</v>
      </c>
      <c r="J39" s="100">
        <v>551</v>
      </c>
      <c r="K39" s="100">
        <v>414</v>
      </c>
      <c r="L39" s="100">
        <v>561</v>
      </c>
      <c r="M39" s="100">
        <v>720</v>
      </c>
      <c r="N39" s="100">
        <v>661</v>
      </c>
    </row>
    <row r="40" spans="2:14">
      <c r="B40" s="93" t="s">
        <v>147</v>
      </c>
      <c r="C40" s="101">
        <v>4611</v>
      </c>
      <c r="D40" s="101">
        <v>5712</v>
      </c>
      <c r="E40" s="101">
        <v>6784</v>
      </c>
      <c r="F40" s="101">
        <v>8075</v>
      </c>
      <c r="G40" s="101">
        <v>8914</v>
      </c>
      <c r="H40" s="101">
        <v>10559</v>
      </c>
      <c r="I40" s="101">
        <v>12405</v>
      </c>
      <c r="J40" s="101">
        <v>13763</v>
      </c>
      <c r="K40" s="101">
        <v>16249</v>
      </c>
      <c r="L40" s="101">
        <v>16138</v>
      </c>
      <c r="M40" s="101">
        <v>20355</v>
      </c>
      <c r="N40" s="101">
        <v>22958</v>
      </c>
    </row>
    <row r="43" spans="2:14"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1"/>
    </row>
    <row r="44" spans="2:14">
      <c r="B44" s="112" t="s">
        <v>233</v>
      </c>
      <c r="C44" s="106">
        <v>762</v>
      </c>
      <c r="D44" s="106">
        <v>710</v>
      </c>
      <c r="E44" s="107">
        <v>1187</v>
      </c>
      <c r="F44" s="107">
        <v>1402</v>
      </c>
      <c r="G44" s="107">
        <v>1188</v>
      </c>
      <c r="H44" s="107">
        <v>2243</v>
      </c>
      <c r="I44" s="107">
        <v>1527</v>
      </c>
      <c r="J44" s="107">
        <v>2113</v>
      </c>
      <c r="K44" s="107">
        <v>2470</v>
      </c>
      <c r="L44" s="107">
        <v>3038</v>
      </c>
      <c r="M44" s="107">
        <v>3683</v>
      </c>
      <c r="N44" s="106">
        <v>986</v>
      </c>
    </row>
    <row r="45" spans="2:14">
      <c r="B45" s="108" t="s">
        <v>234</v>
      </c>
      <c r="C45" s="107">
        <v>1331</v>
      </c>
      <c r="D45" s="107">
        <v>1539</v>
      </c>
      <c r="E45" s="107">
        <v>1784</v>
      </c>
      <c r="F45" s="107">
        <v>2051</v>
      </c>
      <c r="G45" s="107">
        <v>2271</v>
      </c>
      <c r="H45" s="107">
        <v>2848</v>
      </c>
      <c r="I45" s="107">
        <v>3056</v>
      </c>
      <c r="J45" s="107">
        <v>3274</v>
      </c>
      <c r="K45" s="107">
        <v>3861</v>
      </c>
      <c r="L45" s="107">
        <v>4380</v>
      </c>
      <c r="M45" s="107">
        <v>4970</v>
      </c>
      <c r="N45" s="107">
        <v>4957</v>
      </c>
    </row>
    <row r="46" spans="2:14">
      <c r="B46" s="109" t="s">
        <v>143</v>
      </c>
      <c r="C46" s="110">
        <v>-82</v>
      </c>
      <c r="D46" s="110">
        <v>-305</v>
      </c>
      <c r="E46" s="110">
        <v>-299</v>
      </c>
      <c r="F46" s="110">
        <v>-254</v>
      </c>
      <c r="G46" s="110">
        <v>-155</v>
      </c>
      <c r="H46" s="110">
        <v>-146</v>
      </c>
      <c r="I46" s="110">
        <v>-475</v>
      </c>
      <c r="J46" s="110">
        <v>-483</v>
      </c>
      <c r="K46" s="110">
        <v>-205</v>
      </c>
      <c r="L46" s="110">
        <v>160</v>
      </c>
      <c r="M46" s="110">
        <v>-849</v>
      </c>
      <c r="N46" s="111">
        <v>-1326</v>
      </c>
    </row>
    <row r="47" spans="2:14">
      <c r="B47" s="109" t="s">
        <v>144</v>
      </c>
      <c r="C47" s="110">
        <v>-350</v>
      </c>
      <c r="D47" s="110">
        <v>-293</v>
      </c>
      <c r="E47" s="110">
        <v>-247</v>
      </c>
      <c r="F47" s="110">
        <v>-231</v>
      </c>
      <c r="G47" s="110">
        <v>-144</v>
      </c>
      <c r="H47" s="110">
        <v>202</v>
      </c>
      <c r="I47" s="110">
        <v>-629</v>
      </c>
      <c r="J47" s="110">
        <v>-39</v>
      </c>
      <c r="K47" s="110">
        <v>-492</v>
      </c>
      <c r="L47" s="110">
        <v>-251</v>
      </c>
      <c r="M47" s="110">
        <v>-409</v>
      </c>
      <c r="N47" s="111">
        <v>-2354</v>
      </c>
    </row>
    <row r="48" spans="2:14">
      <c r="B48" s="109" t="s">
        <v>235</v>
      </c>
      <c r="C48" s="110">
        <v>255</v>
      </c>
      <c r="D48" s="110">
        <v>188</v>
      </c>
      <c r="E48" s="110">
        <v>388</v>
      </c>
      <c r="F48" s="110">
        <v>317</v>
      </c>
      <c r="G48" s="110">
        <v>-151</v>
      </c>
      <c r="H48" s="110">
        <v>142</v>
      </c>
      <c r="I48" s="110">
        <v>501</v>
      </c>
      <c r="J48" s="110">
        <v>442</v>
      </c>
      <c r="K48" s="110">
        <v>287</v>
      </c>
      <c r="L48" s="110">
        <v>-241</v>
      </c>
      <c r="M48" s="111">
        <v>1143</v>
      </c>
      <c r="N48" s="110">
        <v>644</v>
      </c>
    </row>
    <row r="49" spans="2:14">
      <c r="B49" s="109" t="s">
        <v>236</v>
      </c>
      <c r="C49" s="110">
        <v>0</v>
      </c>
      <c r="D49" s="110">
        <v>0</v>
      </c>
      <c r="E49" s="110">
        <v>0</v>
      </c>
      <c r="F49" s="110">
        <v>0</v>
      </c>
      <c r="G49" s="110">
        <v>0</v>
      </c>
      <c r="H49" s="110">
        <v>0</v>
      </c>
      <c r="I49" s="110">
        <v>0</v>
      </c>
      <c r="J49" s="110">
        <v>0</v>
      </c>
      <c r="K49" s="110">
        <v>0</v>
      </c>
      <c r="L49" s="110">
        <v>0</v>
      </c>
      <c r="M49" s="110">
        <v>-92</v>
      </c>
      <c r="N49" s="110">
        <v>242</v>
      </c>
    </row>
    <row r="50" spans="2:14">
      <c r="B50" s="108" t="s">
        <v>237</v>
      </c>
      <c r="C50" s="106">
        <v>-176</v>
      </c>
      <c r="D50" s="106">
        <v>-410</v>
      </c>
      <c r="E50" s="106">
        <v>-159</v>
      </c>
      <c r="F50" s="106">
        <v>-168</v>
      </c>
      <c r="G50" s="106">
        <v>-450</v>
      </c>
      <c r="H50" s="106">
        <v>198</v>
      </c>
      <c r="I50" s="106">
        <v>-603</v>
      </c>
      <c r="J50" s="106">
        <v>-80</v>
      </c>
      <c r="K50" s="106">
        <v>-410</v>
      </c>
      <c r="L50" s="106">
        <v>-331</v>
      </c>
      <c r="M50" s="106">
        <v>-206</v>
      </c>
      <c r="N50" s="107">
        <v>-2795</v>
      </c>
    </row>
    <row r="51" spans="2:14">
      <c r="B51" s="109" t="s">
        <v>238</v>
      </c>
      <c r="C51" s="110">
        <v>-392</v>
      </c>
      <c r="D51" s="110">
        <v>-430</v>
      </c>
      <c r="E51" s="110">
        <v>-438</v>
      </c>
      <c r="F51" s="110">
        <v>-480</v>
      </c>
      <c r="G51" s="110">
        <v>-633</v>
      </c>
      <c r="H51" s="110">
        <v>-802</v>
      </c>
      <c r="I51" s="110">
        <v>-925</v>
      </c>
      <c r="J51" s="111">
        <v>-1081</v>
      </c>
      <c r="K51" s="110">
        <v>-982</v>
      </c>
      <c r="L51" s="111">
        <v>-1011</v>
      </c>
      <c r="M51" s="111">
        <v>-1080</v>
      </c>
      <c r="N51" s="111">
        <v>-1176</v>
      </c>
    </row>
    <row r="52" spans="2:14">
      <c r="B52" s="109" t="s">
        <v>239</v>
      </c>
      <c r="C52" s="110">
        <v>0</v>
      </c>
      <c r="D52" s="110">
        <v>10</v>
      </c>
      <c r="E52" s="110">
        <v>0</v>
      </c>
      <c r="F52" s="110">
        <v>0</v>
      </c>
      <c r="G52" s="110">
        <v>0</v>
      </c>
      <c r="H52" s="110">
        <v>0</v>
      </c>
      <c r="I52" s="110">
        <v>0</v>
      </c>
      <c r="J52" s="110">
        <v>0</v>
      </c>
      <c r="K52" s="110">
        <v>0</v>
      </c>
      <c r="L52" s="110">
        <v>0</v>
      </c>
      <c r="M52" s="110">
        <v>0</v>
      </c>
      <c r="N52" s="110">
        <v>0</v>
      </c>
    </row>
    <row r="53" spans="2:14">
      <c r="B53" s="105" t="s">
        <v>240</v>
      </c>
      <c r="C53" s="106">
        <v>-439</v>
      </c>
      <c r="D53" s="106">
        <v>-386</v>
      </c>
      <c r="E53" s="106">
        <v>-463</v>
      </c>
      <c r="F53" s="106">
        <v>-586</v>
      </c>
      <c r="G53" s="106">
        <v>-465</v>
      </c>
      <c r="H53" s="106">
        <v>-866</v>
      </c>
      <c r="I53" s="106">
        <v>-681</v>
      </c>
      <c r="J53" s="107">
        <v>-1556</v>
      </c>
      <c r="K53" s="106">
        <v>-918</v>
      </c>
      <c r="L53" s="106">
        <v>-518</v>
      </c>
      <c r="M53" s="106">
        <v>-541</v>
      </c>
      <c r="N53" s="106">
        <v>-317</v>
      </c>
    </row>
    <row r="54" spans="2:14">
      <c r="B54" s="109" t="s">
        <v>241</v>
      </c>
      <c r="C54" s="110">
        <v>-156</v>
      </c>
      <c r="D54" s="110">
        <v>-546</v>
      </c>
      <c r="E54" s="110">
        <v>-644</v>
      </c>
      <c r="F54" s="110">
        <v>-251</v>
      </c>
      <c r="G54" s="110">
        <v>-454</v>
      </c>
      <c r="H54" s="110">
        <v>-817</v>
      </c>
      <c r="I54" s="110">
        <v>-684</v>
      </c>
      <c r="J54" s="111">
        <v>-1426</v>
      </c>
      <c r="K54" s="111">
        <v>-1151</v>
      </c>
      <c r="L54" s="110">
        <v>-404</v>
      </c>
      <c r="M54" s="110">
        <v>-282</v>
      </c>
      <c r="N54" s="110">
        <v>-538</v>
      </c>
    </row>
    <row r="55" spans="2:14">
      <c r="B55" s="109" t="s">
        <v>242</v>
      </c>
      <c r="C55" s="110">
        <v>6</v>
      </c>
      <c r="D55" s="110">
        <v>6</v>
      </c>
      <c r="E55" s="110">
        <v>7</v>
      </c>
      <c r="F55" s="110">
        <v>16</v>
      </c>
      <c r="G55" s="110">
        <v>16</v>
      </c>
      <c r="H55" s="110">
        <v>15</v>
      </c>
      <c r="I55" s="110">
        <v>17</v>
      </c>
      <c r="J55" s="110">
        <v>17</v>
      </c>
      <c r="K55" s="110">
        <v>17</v>
      </c>
      <c r="L55" s="110">
        <v>37</v>
      </c>
      <c r="M55" s="110">
        <v>28</v>
      </c>
      <c r="N55" s="110">
        <v>40</v>
      </c>
    </row>
    <row r="56" spans="2:14">
      <c r="B56" s="109" t="s">
        <v>243</v>
      </c>
      <c r="C56" s="110">
        <v>-336</v>
      </c>
      <c r="D56" s="110">
        <v>-290</v>
      </c>
      <c r="E56" s="110">
        <v>-247</v>
      </c>
      <c r="F56" s="110">
        <v>-872</v>
      </c>
      <c r="G56" s="110">
        <v>-243</v>
      </c>
      <c r="H56" s="110">
        <v>-282</v>
      </c>
      <c r="I56" s="110">
        <v>-153</v>
      </c>
      <c r="J56" s="110">
        <v>-320</v>
      </c>
      <c r="K56" s="110">
        <v>-573</v>
      </c>
      <c r="L56" s="110">
        <v>-25</v>
      </c>
      <c r="M56" s="110">
        <v>-140</v>
      </c>
      <c r="N56" s="110">
        <v>0</v>
      </c>
    </row>
    <row r="57" spans="2:14">
      <c r="B57" s="109" t="s">
        <v>244</v>
      </c>
      <c r="C57" s="110">
        <v>0</v>
      </c>
      <c r="D57" s="110">
        <v>398</v>
      </c>
      <c r="E57" s="110">
        <v>330</v>
      </c>
      <c r="F57" s="110">
        <v>463</v>
      </c>
      <c r="G57" s="110">
        <v>278</v>
      </c>
      <c r="H57" s="110">
        <v>205</v>
      </c>
      <c r="I57" s="110">
        <v>357</v>
      </c>
      <c r="J57" s="110">
        <v>362</v>
      </c>
      <c r="K57" s="110">
        <v>733</v>
      </c>
      <c r="L57" s="110">
        <v>134</v>
      </c>
      <c r="M57" s="110">
        <v>272</v>
      </c>
      <c r="N57" s="110">
        <v>207</v>
      </c>
    </row>
    <row r="58" spans="2:14">
      <c r="B58" s="109" t="s">
        <v>245</v>
      </c>
      <c r="C58" s="110">
        <v>10</v>
      </c>
      <c r="D58" s="110">
        <v>6</v>
      </c>
      <c r="E58" s="110">
        <v>11</v>
      </c>
      <c r="F58" s="110">
        <v>14</v>
      </c>
      <c r="G58" s="110">
        <v>11</v>
      </c>
      <c r="H58" s="110">
        <v>15</v>
      </c>
      <c r="I58" s="110">
        <v>32</v>
      </c>
      <c r="J58" s="110">
        <v>39</v>
      </c>
      <c r="K58" s="110">
        <v>40</v>
      </c>
      <c r="L58" s="110">
        <v>65</v>
      </c>
      <c r="M58" s="110">
        <v>73</v>
      </c>
      <c r="N58" s="110">
        <v>77</v>
      </c>
    </row>
    <row r="59" spans="2:14">
      <c r="B59" s="109" t="s">
        <v>246</v>
      </c>
      <c r="C59" s="110">
        <v>35</v>
      </c>
      <c r="D59" s="110">
        <v>42</v>
      </c>
      <c r="E59" s="110">
        <v>33</v>
      </c>
      <c r="F59" s="110">
        <v>65</v>
      </c>
      <c r="G59" s="110">
        <v>71</v>
      </c>
      <c r="H59" s="110">
        <v>69</v>
      </c>
      <c r="I59" s="110">
        <v>74</v>
      </c>
      <c r="J59" s="110">
        <v>38</v>
      </c>
      <c r="K59" s="110">
        <v>40</v>
      </c>
      <c r="L59" s="110">
        <v>27</v>
      </c>
      <c r="M59" s="110">
        <v>8</v>
      </c>
      <c r="N59" s="110">
        <v>15</v>
      </c>
    </row>
    <row r="60" spans="2:14">
      <c r="B60" s="109" t="s">
        <v>247</v>
      </c>
      <c r="C60" s="110">
        <v>0</v>
      </c>
      <c r="D60" s="110">
        <v>0</v>
      </c>
      <c r="E60" s="110">
        <v>0</v>
      </c>
      <c r="F60" s="110">
        <v>0</v>
      </c>
      <c r="G60" s="110">
        <v>0</v>
      </c>
      <c r="H60" s="110">
        <v>0</v>
      </c>
      <c r="I60" s="110">
        <v>0</v>
      </c>
      <c r="J60" s="110">
        <v>141</v>
      </c>
      <c r="K60" s="110">
        <v>0</v>
      </c>
      <c r="L60" s="110">
        <v>0</v>
      </c>
      <c r="M60" s="110">
        <v>0</v>
      </c>
      <c r="N60" s="110">
        <v>0</v>
      </c>
    </row>
    <row r="61" spans="2:14">
      <c r="B61" s="109" t="s">
        <v>248</v>
      </c>
      <c r="C61" s="110">
        <v>0</v>
      </c>
      <c r="D61" s="110">
        <v>0</v>
      </c>
      <c r="E61" s="110">
        <v>0</v>
      </c>
      <c r="F61" s="110">
        <v>0</v>
      </c>
      <c r="G61" s="110">
        <v>0</v>
      </c>
      <c r="H61" s="110">
        <v>0</v>
      </c>
      <c r="I61" s="110">
        <v>0</v>
      </c>
      <c r="J61" s="110">
        <v>-525</v>
      </c>
      <c r="K61" s="110">
        <v>0</v>
      </c>
      <c r="L61" s="110">
        <v>0</v>
      </c>
      <c r="M61" s="110">
        <v>0</v>
      </c>
      <c r="N61" s="110">
        <v>0</v>
      </c>
    </row>
    <row r="62" spans="2:14">
      <c r="B62" s="109" t="s">
        <v>249</v>
      </c>
      <c r="C62" s="110">
        <v>2</v>
      </c>
      <c r="D62" s="110">
        <v>-1</v>
      </c>
      <c r="E62" s="110">
        <v>46</v>
      </c>
      <c r="F62" s="110">
        <v>-21</v>
      </c>
      <c r="G62" s="110">
        <v>-144</v>
      </c>
      <c r="H62" s="110">
        <v>-70</v>
      </c>
      <c r="I62" s="110">
        <v>-324</v>
      </c>
      <c r="J62" s="110">
        <v>118</v>
      </c>
      <c r="K62" s="110">
        <v>-24</v>
      </c>
      <c r="L62" s="110">
        <v>-353</v>
      </c>
      <c r="M62" s="110">
        <v>-500</v>
      </c>
      <c r="N62" s="110">
        <v>-118</v>
      </c>
    </row>
    <row r="63" spans="2:14">
      <c r="B63" s="105" t="s">
        <v>250</v>
      </c>
      <c r="C63" s="106">
        <v>-334</v>
      </c>
      <c r="D63" s="106">
        <v>-327</v>
      </c>
      <c r="E63" s="106">
        <v>-601</v>
      </c>
      <c r="F63" s="106">
        <v>-626</v>
      </c>
      <c r="G63" s="106">
        <v>-576</v>
      </c>
      <c r="H63" s="106">
        <v>-849</v>
      </c>
      <c r="I63" s="106">
        <v>-756</v>
      </c>
      <c r="J63" s="107">
        <v>-1379</v>
      </c>
      <c r="K63" s="107">
        <v>-1117</v>
      </c>
      <c r="L63" s="107">
        <v>-2871</v>
      </c>
      <c r="M63" s="106">
        <v>-650</v>
      </c>
      <c r="N63" s="107">
        <v>-1808</v>
      </c>
    </row>
    <row r="64" spans="2:14">
      <c r="B64" s="109" t="s">
        <v>251</v>
      </c>
      <c r="C64" s="110">
        <v>12</v>
      </c>
      <c r="D64" s="110">
        <v>109</v>
      </c>
      <c r="E64" s="110">
        <v>33</v>
      </c>
      <c r="F64" s="110">
        <v>44</v>
      </c>
      <c r="G64" s="110">
        <v>239</v>
      </c>
      <c r="H64" s="110">
        <v>8</v>
      </c>
      <c r="I64" s="110">
        <v>271</v>
      </c>
      <c r="J64" s="110">
        <v>10</v>
      </c>
      <c r="K64" s="110">
        <v>243</v>
      </c>
      <c r="L64" s="110">
        <v>18</v>
      </c>
      <c r="M64" s="110">
        <v>155</v>
      </c>
      <c r="N64" s="110">
        <v>418</v>
      </c>
    </row>
    <row r="65" spans="2:14">
      <c r="B65" s="109" t="s">
        <v>252</v>
      </c>
      <c r="C65" s="110">
        <v>-6</v>
      </c>
      <c r="D65" s="110">
        <v>-12</v>
      </c>
      <c r="E65" s="110">
        <v>-135</v>
      </c>
      <c r="F65" s="110">
        <v>-81</v>
      </c>
      <c r="G65" s="110">
        <v>-86</v>
      </c>
      <c r="H65" s="110">
        <v>-119</v>
      </c>
      <c r="I65" s="110">
        <v>-58</v>
      </c>
      <c r="J65" s="110">
        <v>-54</v>
      </c>
      <c r="K65" s="110">
        <v>-26</v>
      </c>
      <c r="L65" s="110">
        <v>-279</v>
      </c>
      <c r="M65" s="110">
        <v>-14</v>
      </c>
      <c r="N65" s="110">
        <v>-8</v>
      </c>
    </row>
    <row r="66" spans="2:14">
      <c r="B66" s="109" t="s">
        <v>253</v>
      </c>
      <c r="C66" s="110">
        <v>-23</v>
      </c>
      <c r="D66" s="110">
        <v>-40</v>
      </c>
      <c r="E66" s="110">
        <v>-37</v>
      </c>
      <c r="F66" s="110">
        <v>-42</v>
      </c>
      <c r="G66" s="110">
        <v>-35</v>
      </c>
      <c r="H66" s="110">
        <v>-40</v>
      </c>
      <c r="I66" s="110">
        <v>-36</v>
      </c>
      <c r="J66" s="110">
        <v>-35</v>
      </c>
      <c r="K66" s="110">
        <v>-106</v>
      </c>
      <c r="L66" s="110">
        <v>-101</v>
      </c>
      <c r="M66" s="110">
        <v>-89</v>
      </c>
      <c r="N66" s="110">
        <v>-94</v>
      </c>
    </row>
    <row r="67" spans="2:14">
      <c r="B67" s="109" t="s">
        <v>254</v>
      </c>
      <c r="C67" s="110">
        <v>-317</v>
      </c>
      <c r="D67" s="110">
        <v>-383</v>
      </c>
      <c r="E67" s="110">
        <v>-462</v>
      </c>
      <c r="F67" s="110">
        <v>-547</v>
      </c>
      <c r="G67" s="110">
        <v>-695</v>
      </c>
      <c r="H67" s="110">
        <v>-764</v>
      </c>
      <c r="I67" s="110">
        <v>-947</v>
      </c>
      <c r="J67" s="111">
        <v>-1218</v>
      </c>
      <c r="K67" s="111">
        <v>-1049</v>
      </c>
      <c r="L67" s="111">
        <v>-2121</v>
      </c>
      <c r="M67" s="110">
        <v>-499</v>
      </c>
      <c r="N67" s="111">
        <v>-1763</v>
      </c>
    </row>
    <row r="68" spans="2:14">
      <c r="B68" s="109" t="s">
        <v>255</v>
      </c>
      <c r="C68" s="110">
        <v>0</v>
      </c>
      <c r="D68" s="110">
        <v>0</v>
      </c>
      <c r="E68" s="110">
        <v>0</v>
      </c>
      <c r="F68" s="110">
        <v>0</v>
      </c>
      <c r="G68" s="110">
        <v>0</v>
      </c>
      <c r="H68" s="110">
        <v>0</v>
      </c>
      <c r="I68" s="110">
        <v>0</v>
      </c>
      <c r="J68" s="110">
        <v>0</v>
      </c>
      <c r="K68" s="110">
        <v>-180</v>
      </c>
      <c r="L68" s="110">
        <v>-179</v>
      </c>
      <c r="M68" s="110">
        <v>-203</v>
      </c>
      <c r="N68" s="110">
        <v>-221</v>
      </c>
    </row>
    <row r="69" spans="2:14">
      <c r="B69" s="109" t="s">
        <v>256</v>
      </c>
      <c r="C69" s="110">
        <v>0</v>
      </c>
      <c r="D69" s="110">
        <v>0</v>
      </c>
      <c r="E69" s="110">
        <v>0</v>
      </c>
      <c r="F69" s="110">
        <v>0</v>
      </c>
      <c r="G69" s="110">
        <v>0</v>
      </c>
      <c r="H69" s="110">
        <v>66</v>
      </c>
      <c r="I69" s="110">
        <v>13</v>
      </c>
      <c r="J69" s="110">
        <v>-82</v>
      </c>
      <c r="K69" s="110">
        <v>0</v>
      </c>
      <c r="L69" s="110">
        <v>-209</v>
      </c>
      <c r="M69" s="110">
        <v>0</v>
      </c>
      <c r="N69" s="110">
        <v>-140</v>
      </c>
    </row>
    <row r="70" spans="2:14">
      <c r="B70" s="105" t="s">
        <v>153</v>
      </c>
      <c r="C70" s="106">
        <v>-11</v>
      </c>
      <c r="D70" s="106">
        <v>-2</v>
      </c>
      <c r="E70" s="106">
        <v>123</v>
      </c>
      <c r="F70" s="106">
        <v>190</v>
      </c>
      <c r="G70" s="106">
        <v>147</v>
      </c>
      <c r="H70" s="106">
        <v>528</v>
      </c>
      <c r="I70" s="106">
        <v>90</v>
      </c>
      <c r="J70" s="106">
        <v>-822</v>
      </c>
      <c r="K70" s="106">
        <v>434</v>
      </c>
      <c r="L70" s="106">
        <v>-351</v>
      </c>
      <c r="M70" s="107">
        <v>2492</v>
      </c>
      <c r="N70" s="107">
        <v>-1138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B5B7B-C668-4751-B269-60A6246385E1}">
  <sheetPr>
    <pageSetUpPr fitToPage="1"/>
  </sheetPr>
  <dimension ref="A1:J47"/>
  <sheetViews>
    <sheetView showGridLines="0" topLeftCell="A10" zoomScaleNormal="100" workbookViewId="0">
      <selection activeCell="N21" sqref="N21"/>
    </sheetView>
  </sheetViews>
  <sheetFormatPr baseColWidth="10" defaultColWidth="8.83203125" defaultRowHeight="15"/>
  <cols>
    <col min="1" max="1" width="1.83203125" customWidth="1"/>
    <col min="2" max="2" width="19.83203125" customWidth="1"/>
    <col min="3" max="3" width="10.33203125" bestFit="1" customWidth="1"/>
    <col min="4" max="4" width="10.1640625" bestFit="1" customWidth="1"/>
    <col min="5" max="5" width="11.5" bestFit="1" customWidth="1"/>
    <col min="6" max="6" width="10.83203125" customWidth="1"/>
    <col min="7" max="9" width="9.33203125" customWidth="1"/>
    <col min="10" max="10" width="10.33203125" bestFit="1" customWidth="1"/>
    <col min="14" max="14" width="16.5" bestFit="1" customWidth="1"/>
    <col min="15" max="15" width="9.83203125" bestFit="1" customWidth="1"/>
    <col min="16" max="16" width="6.5" bestFit="1" customWidth="1"/>
  </cols>
  <sheetData>
    <row r="1" spans="2:10">
      <c r="B1" s="1"/>
      <c r="C1" s="1"/>
      <c r="D1" s="1"/>
      <c r="E1" s="1"/>
      <c r="F1" s="1"/>
      <c r="G1" s="1"/>
      <c r="H1" s="1"/>
      <c r="I1" s="1"/>
      <c r="J1" s="1"/>
    </row>
    <row r="2" spans="2:10">
      <c r="B2" s="1"/>
      <c r="C2" s="1"/>
      <c r="D2" s="1"/>
      <c r="E2" s="1"/>
      <c r="F2" s="1"/>
      <c r="G2" s="1"/>
      <c r="H2" s="1"/>
      <c r="I2" s="1"/>
      <c r="J2" s="1"/>
    </row>
    <row r="3" spans="2:10">
      <c r="B3" s="1"/>
      <c r="C3" s="1"/>
      <c r="D3" s="1"/>
      <c r="E3" s="1"/>
      <c r="F3" s="1"/>
      <c r="G3" s="1"/>
      <c r="H3" s="1"/>
      <c r="I3" s="1"/>
      <c r="J3" s="1"/>
    </row>
    <row r="4" spans="2:10">
      <c r="B4" s="1"/>
      <c r="C4" s="1"/>
      <c r="D4" s="1"/>
      <c r="E4" s="1"/>
      <c r="F4" s="1"/>
      <c r="G4" s="1"/>
      <c r="H4" s="1"/>
      <c r="I4" s="1"/>
      <c r="J4" s="1"/>
    </row>
    <row r="6" spans="2:10" ht="19">
      <c r="B6" s="5" t="s">
        <v>0</v>
      </c>
      <c r="C6" s="6"/>
      <c r="D6" s="6"/>
      <c r="E6" s="6"/>
      <c r="F6" s="7"/>
      <c r="G6" s="7"/>
      <c r="H6" s="7"/>
      <c r="I6" s="7"/>
      <c r="J6" s="7"/>
    </row>
    <row r="8" spans="2:10">
      <c r="B8" s="35" t="s">
        <v>1</v>
      </c>
    </row>
    <row r="10" spans="2:10">
      <c r="B10" s="2" t="s">
        <v>2</v>
      </c>
    </row>
    <row r="11" spans="2:10" ht="13.5" customHeight="1">
      <c r="B11" s="3"/>
      <c r="C11" s="3"/>
      <c r="D11" s="3"/>
      <c r="E11" s="3"/>
      <c r="F11" s="11"/>
      <c r="G11" s="11" t="s">
        <v>8</v>
      </c>
      <c r="H11" s="11" t="s">
        <v>8</v>
      </c>
      <c r="I11" s="11" t="s">
        <v>10</v>
      </c>
      <c r="J11" s="11" t="s">
        <v>13</v>
      </c>
    </row>
    <row r="12" spans="2:10" ht="18.75" customHeight="1">
      <c r="B12" s="4" t="s">
        <v>3</v>
      </c>
      <c r="C12" s="4" t="s">
        <v>4</v>
      </c>
      <c r="D12" s="12" t="s">
        <v>5</v>
      </c>
      <c r="E12" s="12" t="s">
        <v>6</v>
      </c>
      <c r="F12" s="12" t="s">
        <v>11</v>
      </c>
      <c r="G12" s="12" t="s">
        <v>9</v>
      </c>
      <c r="H12" s="12" t="s">
        <v>16</v>
      </c>
      <c r="I12" s="12" t="s">
        <v>12</v>
      </c>
      <c r="J12" s="12" t="s">
        <v>14</v>
      </c>
    </row>
    <row r="13" spans="2:10">
      <c r="B13" s="8"/>
      <c r="C13" s="8"/>
      <c r="D13" s="8"/>
      <c r="E13" s="8"/>
      <c r="F13" s="8"/>
      <c r="G13" s="8"/>
      <c r="H13" s="8"/>
      <c r="I13" s="8"/>
      <c r="J13" s="8"/>
    </row>
    <row r="14" spans="2:10">
      <c r="B14" s="10" t="s">
        <v>47</v>
      </c>
      <c r="C14" s="10" t="s">
        <v>15</v>
      </c>
      <c r="D14" s="38">
        <f>'Beta - Comps'!F7</f>
        <v>710.83</v>
      </c>
      <c r="E14" s="38">
        <f>'Beta - Comps'!E7</f>
        <v>228379.45</v>
      </c>
      <c r="F14" s="15">
        <v>0.3</v>
      </c>
      <c r="G14" s="23">
        <f>D14/E14</f>
        <v>3.1124954543852346E-3</v>
      </c>
      <c r="H14" s="23">
        <f>D14/(D14+E14)</f>
        <v>3.1028378855707021E-3</v>
      </c>
      <c r="I14" s="13">
        <f>'Beta - Regression'!M11</f>
        <v>1.2421196304007405</v>
      </c>
      <c r="J14" s="24">
        <f>I14/(1+(1-F14)*G14)</f>
        <v>1.2394192496543019</v>
      </c>
    </row>
    <row r="15" spans="2:10">
      <c r="B15" s="10" t="s">
        <v>48</v>
      </c>
      <c r="C15" s="10" t="s">
        <v>15</v>
      </c>
      <c r="D15" s="38">
        <f>'Beta - Comps'!F8</f>
        <v>4525.96</v>
      </c>
      <c r="E15" s="38">
        <f>'Beta - Comps'!E8</f>
        <v>47567.78</v>
      </c>
      <c r="F15" s="15">
        <v>0.3</v>
      </c>
      <c r="G15" s="23">
        <f t="shared" ref="G15:G18" si="0">D15/E15</f>
        <v>9.5147597806750708E-2</v>
      </c>
      <c r="H15" s="23">
        <f t="shared" ref="H15:H18" si="1">D15/(D15+E15)</f>
        <v>8.6881072466672579E-2</v>
      </c>
      <c r="I15" s="13">
        <v>1.4</v>
      </c>
      <c r="J15" s="24">
        <f t="shared" ref="J15:J18" si="2">I15/(1+(1-F15)*G15)</f>
        <v>1.3125779526123802</v>
      </c>
    </row>
    <row r="16" spans="2:10">
      <c r="B16" s="10" t="s">
        <v>49</v>
      </c>
      <c r="C16" s="10" t="s">
        <v>15</v>
      </c>
      <c r="D16" s="38">
        <f>'Beta - Comps'!F9</f>
        <v>248.92</v>
      </c>
      <c r="E16" s="38">
        <f>'Beta - Comps'!E9</f>
        <v>28378.34</v>
      </c>
      <c r="F16" s="15">
        <v>0.3</v>
      </c>
      <c r="G16" s="23">
        <f t="shared" si="0"/>
        <v>8.7714785290471525E-3</v>
      </c>
      <c r="H16" s="23">
        <f t="shared" si="1"/>
        <v>8.6952086926936067E-3</v>
      </c>
      <c r="I16" s="13">
        <v>1.373</v>
      </c>
      <c r="J16" s="24">
        <f t="shared" si="2"/>
        <v>1.3646211782443227</v>
      </c>
    </row>
    <row r="17" spans="2:10">
      <c r="B17" s="10" t="s">
        <v>50</v>
      </c>
      <c r="C17" s="10" t="s">
        <v>15</v>
      </c>
      <c r="D17" s="38">
        <f>'Beta - Comps'!F10</f>
        <v>4617.57</v>
      </c>
      <c r="E17" s="38">
        <f>'Beta - Comps'!E10</f>
        <v>23395.42</v>
      </c>
      <c r="F17" s="15">
        <v>0.3</v>
      </c>
      <c r="G17" s="23">
        <f t="shared" si="0"/>
        <v>0.1973706819539893</v>
      </c>
      <c r="H17" s="23">
        <f t="shared" si="1"/>
        <v>0.16483674181156671</v>
      </c>
      <c r="I17" s="13">
        <v>1.23</v>
      </c>
      <c r="J17" s="24">
        <f t="shared" si="2"/>
        <v>1.080692138894811</v>
      </c>
    </row>
    <row r="18" spans="2:10">
      <c r="B18" s="10" t="s">
        <v>51</v>
      </c>
      <c r="C18" s="10" t="s">
        <v>15</v>
      </c>
      <c r="D18" s="38">
        <f>'Beta - Comps'!F11</f>
        <v>805.48</v>
      </c>
      <c r="E18" s="38">
        <f>'Beta - Comps'!E11</f>
        <v>23076.59</v>
      </c>
      <c r="F18" s="15">
        <v>0.3</v>
      </c>
      <c r="G18" s="23">
        <f t="shared" si="0"/>
        <v>3.4904637123595816E-2</v>
      </c>
      <c r="H18" s="23">
        <f t="shared" si="1"/>
        <v>3.3727394652138615E-2</v>
      </c>
      <c r="I18" s="13">
        <v>1.41</v>
      </c>
      <c r="J18" s="24">
        <f t="shared" si="2"/>
        <v>1.3763707938257965</v>
      </c>
    </row>
    <row r="19" spans="2:10">
      <c r="F19" s="16"/>
    </row>
    <row r="20" spans="2:10">
      <c r="E20" s="17" t="s">
        <v>7</v>
      </c>
      <c r="F20" s="18">
        <f>AVERAGE(F14:F18)</f>
        <v>0.3</v>
      </c>
      <c r="G20" s="18">
        <f t="shared" ref="G20:J20" si="3">AVERAGE(G14:G18)</f>
        <v>6.7861378173553644E-2</v>
      </c>
      <c r="H20" s="18">
        <f t="shared" si="3"/>
        <v>5.9448651101728436E-2</v>
      </c>
      <c r="I20" s="19">
        <f t="shared" si="3"/>
        <v>1.3310239260801482</v>
      </c>
      <c r="J20" s="19">
        <f t="shared" si="3"/>
        <v>1.2747362626463226</v>
      </c>
    </row>
    <row r="21" spans="2:10">
      <c r="E21" s="20" t="s">
        <v>17</v>
      </c>
      <c r="F21" s="21">
        <f>MEDIAN(F14:F18)</f>
        <v>0.3</v>
      </c>
      <c r="G21" s="21">
        <f t="shared" ref="G21:J21" si="4">MEDIAN(G14:G18)</f>
        <v>3.4904637123595816E-2</v>
      </c>
      <c r="H21" s="21">
        <f t="shared" si="4"/>
        <v>3.3727394652138615E-2</v>
      </c>
      <c r="I21" s="22">
        <f t="shared" si="4"/>
        <v>1.373</v>
      </c>
      <c r="J21" s="22">
        <f t="shared" si="4"/>
        <v>1.3125779526123802</v>
      </c>
    </row>
    <row r="22" spans="2:10">
      <c r="G22" s="9"/>
    </row>
    <row r="23" spans="2:10">
      <c r="G23" s="9"/>
    </row>
    <row r="24" spans="2:10">
      <c r="B24" s="20" t="s">
        <v>29</v>
      </c>
      <c r="C24" s="25"/>
      <c r="D24" s="25"/>
      <c r="E24" s="25"/>
      <c r="G24" s="20" t="s">
        <v>23</v>
      </c>
      <c r="H24" s="25"/>
      <c r="I24" s="25"/>
      <c r="J24" s="25"/>
    </row>
    <row r="25" spans="2:10">
      <c r="B25" s="9"/>
      <c r="G25" s="9"/>
    </row>
    <row r="26" spans="2:10">
      <c r="B26" t="s">
        <v>30</v>
      </c>
      <c r="E26" s="51">
        <f>69/710</f>
        <v>9.7183098591549291E-2</v>
      </c>
      <c r="G26" t="s">
        <v>24</v>
      </c>
      <c r="J26" s="58">
        <v>7.3910000000000003E-2</v>
      </c>
    </row>
    <row r="27" spans="2:10">
      <c r="B27" t="s">
        <v>31</v>
      </c>
      <c r="E27" s="16">
        <f>F21</f>
        <v>0.3</v>
      </c>
      <c r="G27" t="s">
        <v>25</v>
      </c>
      <c r="J27" s="55">
        <f>Rm!G11-WACC!J26</f>
        <v>8.0207391304347841E-2</v>
      </c>
    </row>
    <row r="28" spans="2:10" ht="15.75" customHeight="1">
      <c r="B28" s="27" t="s">
        <v>32</v>
      </c>
      <c r="C28" s="27"/>
      <c r="D28" s="27"/>
      <c r="E28" s="31">
        <f>E26*(1-E27)</f>
        <v>6.8028169014084497E-2</v>
      </c>
      <c r="G28" t="s">
        <v>28</v>
      </c>
      <c r="J28" s="59">
        <f>J37</f>
        <v>1.6814624297235128</v>
      </c>
    </row>
    <row r="29" spans="2:10">
      <c r="G29" s="27" t="s">
        <v>23</v>
      </c>
      <c r="H29" s="27"/>
      <c r="I29" s="27"/>
      <c r="J29" s="60">
        <f>J26+(J27*J28)</f>
        <v>0.20877571506439327</v>
      </c>
    </row>
    <row r="32" spans="2:10">
      <c r="B32" s="20" t="s">
        <v>18</v>
      </c>
      <c r="C32" s="25"/>
      <c r="D32" s="25"/>
      <c r="E32" s="25"/>
      <c r="G32" s="20" t="s">
        <v>33</v>
      </c>
      <c r="H32" s="25"/>
      <c r="I32" s="25"/>
      <c r="J32" s="25"/>
    </row>
    <row r="33" spans="1:10">
      <c r="G33" s="2"/>
    </row>
    <row r="34" spans="1:10">
      <c r="D34" s="26" t="s">
        <v>21</v>
      </c>
      <c r="E34" s="26" t="s">
        <v>22</v>
      </c>
      <c r="G34" s="9" t="s">
        <v>34</v>
      </c>
      <c r="J34" s="9">
        <f>J21</f>
        <v>1.3125779526123802</v>
      </c>
    </row>
    <row r="35" spans="1:10">
      <c r="B35" t="s">
        <v>5</v>
      </c>
      <c r="C35" s="38">
        <f>D14</f>
        <v>710.83</v>
      </c>
      <c r="D35" s="14">
        <f>C35/$C$37</f>
        <v>3.1028378855707021E-3</v>
      </c>
      <c r="E35" s="32">
        <f>H20</f>
        <v>5.9448651101728436E-2</v>
      </c>
      <c r="G35" t="s">
        <v>35</v>
      </c>
      <c r="J35" s="33">
        <f>E39</f>
        <v>6.3206172817001943E-2</v>
      </c>
    </row>
    <row r="36" spans="1:10">
      <c r="B36" t="s">
        <v>19</v>
      </c>
      <c r="C36" s="38">
        <f>E14</f>
        <v>228379.45</v>
      </c>
      <c r="D36" s="14">
        <f>C36/$C$37</f>
        <v>0.99689716211442936</v>
      </c>
      <c r="E36" s="16">
        <f>E37-E35</f>
        <v>0.94055134889827152</v>
      </c>
      <c r="G36" t="s">
        <v>31</v>
      </c>
      <c r="J36" s="16">
        <f>E27</f>
        <v>0.3</v>
      </c>
    </row>
    <row r="37" spans="1:10">
      <c r="B37" t="s">
        <v>20</v>
      </c>
      <c r="C37" s="27">
        <f>SUM(C35:C36)</f>
        <v>229090.28</v>
      </c>
      <c r="D37" s="28">
        <f>C37/$C$37</f>
        <v>1</v>
      </c>
      <c r="E37" s="29">
        <f>D37</f>
        <v>1</v>
      </c>
      <c r="G37" s="27" t="s">
        <v>26</v>
      </c>
      <c r="H37" s="27"/>
      <c r="I37" s="27"/>
      <c r="J37" s="34">
        <f>J34*(1+(1-J35)*J36)</f>
        <v>1.6814624297235128</v>
      </c>
    </row>
    <row r="39" spans="1:10">
      <c r="B39" t="s">
        <v>27</v>
      </c>
      <c r="D39" s="30">
        <f>D35/D36</f>
        <v>3.112495454385235E-3</v>
      </c>
      <c r="E39" s="30">
        <f>E35/E36</f>
        <v>6.3206172817001943E-2</v>
      </c>
      <c r="G39" s="20" t="s">
        <v>0</v>
      </c>
      <c r="H39" s="25"/>
      <c r="I39" s="25"/>
      <c r="J39" s="25"/>
    </row>
    <row r="40" spans="1:10">
      <c r="G40" s="9"/>
    </row>
    <row r="41" spans="1:10">
      <c r="B41" s="36" t="s">
        <v>36</v>
      </c>
      <c r="G41" t="s">
        <v>23</v>
      </c>
      <c r="J41" s="61">
        <f>J29</f>
        <v>0.20877571506439327</v>
      </c>
    </row>
    <row r="42" spans="1:10">
      <c r="B42" s="36" t="s">
        <v>37</v>
      </c>
      <c r="G42" t="s">
        <v>98</v>
      </c>
      <c r="J42" s="16">
        <f>E36</f>
        <v>0.94055134889827152</v>
      </c>
    </row>
    <row r="43" spans="1:10">
      <c r="A43" t="s">
        <v>38</v>
      </c>
      <c r="B43" s="36" t="s">
        <v>39</v>
      </c>
      <c r="J43" s="61"/>
    </row>
    <row r="44" spans="1:10">
      <c r="B44" s="36" t="s">
        <v>40</v>
      </c>
      <c r="G44" t="s">
        <v>29</v>
      </c>
      <c r="J44" s="16">
        <f>E28</f>
        <v>6.8028169014084497E-2</v>
      </c>
    </row>
    <row r="45" spans="1:10">
      <c r="G45" t="s">
        <v>99</v>
      </c>
      <c r="J45" s="16">
        <f>E35</f>
        <v>5.9448651101728436E-2</v>
      </c>
    </row>
    <row r="47" spans="1:10">
      <c r="G47" s="62" t="s">
        <v>100</v>
      </c>
      <c r="H47" s="62"/>
      <c r="I47" s="62"/>
      <c r="J47" s="63">
        <f>(J41*J42)+(J44*J45)</f>
        <v>0.20040846330582401</v>
      </c>
    </row>
  </sheetData>
  <pageMargins left="0.7" right="0.7" top="0.75" bottom="0.75" header="0.3" footer="0.3"/>
  <pageSetup scale="88" orientation="portrait" r:id="rId1"/>
  <customProperties>
    <customPr name="Gu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005F2-0584-4EEC-B339-A8CF1A4E7470}">
  <sheetPr>
    <tabColor rgb="FF002060"/>
  </sheetPr>
  <dimension ref="A1"/>
  <sheetViews>
    <sheetView workbookViewId="0">
      <selection activeCell="E13" sqref="E13"/>
    </sheetView>
  </sheetViews>
  <sheetFormatPr baseColWidth="10" defaultColWidth="8.83203125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91D04-130C-4EB5-94D1-E96A482944C5}">
  <dimension ref="B1:T115"/>
  <sheetViews>
    <sheetView showGridLines="0" workbookViewId="0">
      <selection activeCell="O8" sqref="O8"/>
    </sheetView>
  </sheetViews>
  <sheetFormatPr baseColWidth="10" defaultColWidth="8.83203125" defaultRowHeight="15"/>
  <cols>
    <col min="1" max="1" width="1.83203125" customWidth="1"/>
    <col min="2" max="2" width="11.1640625" customWidth="1"/>
    <col min="3" max="3" width="12.33203125" bestFit="1" customWidth="1"/>
    <col min="4" max="4" width="11.33203125" customWidth="1"/>
    <col min="6" max="6" width="13.5" bestFit="1" customWidth="1"/>
    <col min="9" max="9" width="18.1640625" customWidth="1"/>
    <col min="10" max="10" width="12" bestFit="1" customWidth="1"/>
    <col min="12" max="13" width="14.5" customWidth="1"/>
    <col min="14" max="14" width="11.83203125" customWidth="1"/>
    <col min="15" max="15" width="10.83203125" customWidth="1"/>
    <col min="16" max="16" width="11.6640625" customWidth="1"/>
    <col min="17" max="17" width="11.33203125" customWidth="1"/>
    <col min="18" max="18" width="12.83203125" customWidth="1"/>
  </cols>
  <sheetData>
    <row r="1" spans="2:13">
      <c r="B1" s="1"/>
      <c r="C1" s="1"/>
      <c r="D1" s="1"/>
      <c r="E1" s="1"/>
      <c r="F1" s="1"/>
      <c r="G1" s="1"/>
      <c r="H1" s="1"/>
      <c r="I1" s="1"/>
      <c r="J1" s="1"/>
      <c r="K1" s="1"/>
    </row>
    <row r="2" spans="2:13">
      <c r="B2" s="1"/>
      <c r="C2" s="1"/>
      <c r="D2" s="1"/>
      <c r="E2" s="1"/>
      <c r="F2" s="1"/>
      <c r="G2" s="1"/>
      <c r="H2" s="1"/>
      <c r="I2" s="1"/>
      <c r="J2" s="1"/>
      <c r="K2" s="1"/>
    </row>
    <row r="3" spans="2:13">
      <c r="B3" s="1"/>
      <c r="C3" s="1"/>
      <c r="D3" s="1"/>
      <c r="E3" s="1"/>
      <c r="F3" s="1"/>
      <c r="G3" s="1"/>
      <c r="H3" s="1"/>
      <c r="I3" s="1"/>
      <c r="J3" s="1"/>
      <c r="K3" s="1"/>
    </row>
    <row r="4" spans="2:13">
      <c r="B4" s="1"/>
      <c r="C4" s="1"/>
      <c r="D4" s="1"/>
      <c r="E4" s="1"/>
      <c r="F4" s="1"/>
      <c r="G4" s="1"/>
      <c r="H4" s="1"/>
      <c r="I4" s="1"/>
      <c r="J4" s="1"/>
      <c r="K4" s="1"/>
    </row>
    <row r="6" spans="2:13">
      <c r="B6" s="2" t="s">
        <v>90</v>
      </c>
    </row>
    <row r="8" spans="2:13">
      <c r="B8" s="126" t="s">
        <v>53</v>
      </c>
      <c r="C8" s="126"/>
      <c r="D8" s="126"/>
      <c r="F8" s="126" t="s">
        <v>55</v>
      </c>
      <c r="G8" s="126"/>
      <c r="I8" s="126" t="s">
        <v>84</v>
      </c>
      <c r="J8" s="126"/>
      <c r="L8" t="s">
        <v>56</v>
      </c>
      <c r="M8" s="9">
        <f>SLOPE(D12:D115,G12:G115)</f>
        <v>1.2421196304007402</v>
      </c>
    </row>
    <row r="9" spans="2:13">
      <c r="B9" s="2"/>
      <c r="L9" t="s">
        <v>57</v>
      </c>
      <c r="M9" s="9">
        <f>_xlfn.COVARIANCE.S(D11:D115,G11:G115)/_xlfn.VAR.S(G11:G115)</f>
        <v>1.2421196304007396</v>
      </c>
    </row>
    <row r="10" spans="2:13">
      <c r="B10" s="44" t="s">
        <v>41</v>
      </c>
      <c r="C10" s="45" t="s">
        <v>52</v>
      </c>
      <c r="D10" s="45" t="s">
        <v>54</v>
      </c>
      <c r="F10" s="45" t="s">
        <v>52</v>
      </c>
      <c r="G10" s="45" t="s">
        <v>54</v>
      </c>
      <c r="I10" s="39" t="s">
        <v>85</v>
      </c>
      <c r="J10" s="9">
        <f>M11</f>
        <v>1.2421196304007405</v>
      </c>
    </row>
    <row r="11" spans="2:13">
      <c r="B11" s="40">
        <v>44249</v>
      </c>
      <c r="C11" s="41">
        <v>2994.1999510000001</v>
      </c>
      <c r="F11" s="37">
        <v>14529.150390999999</v>
      </c>
      <c r="I11" t="s">
        <v>86</v>
      </c>
      <c r="J11" s="14">
        <v>0.75</v>
      </c>
      <c r="L11" t="s">
        <v>58</v>
      </c>
      <c r="M11" s="9">
        <f>M30</f>
        <v>1.2421196304007405</v>
      </c>
    </row>
    <row r="12" spans="2:13">
      <c r="B12" s="40">
        <v>44256</v>
      </c>
      <c r="C12" s="41">
        <v>3286.1000979999999</v>
      </c>
      <c r="D12" s="14">
        <f>C12/C11-1</f>
        <v>9.7488528413912867E-2</v>
      </c>
      <c r="F12" s="37">
        <v>14938.099609000001</v>
      </c>
      <c r="G12" s="14">
        <f>F12/F11-1</f>
        <v>2.8146808794361711E-2</v>
      </c>
      <c r="J12" s="9"/>
    </row>
    <row r="13" spans="2:13">
      <c r="B13" s="40">
        <v>44263</v>
      </c>
      <c r="C13" s="41">
        <v>3129.3500979999999</v>
      </c>
      <c r="D13" s="14">
        <f t="shared" ref="D13:D76" si="0">C13/C12-1</f>
        <v>-4.7700920643105715E-2</v>
      </c>
      <c r="F13" s="37">
        <v>15030.950194999999</v>
      </c>
      <c r="G13" s="14">
        <f t="shared" ref="G13:G76" si="1">F13/F12-1</f>
        <v>6.2156893065605789E-3</v>
      </c>
      <c r="I13" t="s">
        <v>88</v>
      </c>
      <c r="J13" s="9">
        <v>1</v>
      </c>
      <c r="L13" t="s">
        <v>59</v>
      </c>
    </row>
    <row r="14" spans="2:13" ht="16" thickBot="1">
      <c r="B14" s="40">
        <v>44270</v>
      </c>
      <c r="C14" s="41">
        <v>2960.3000489999999</v>
      </c>
      <c r="D14" s="14">
        <f t="shared" si="0"/>
        <v>-5.402081700863115E-2</v>
      </c>
      <c r="F14" s="37">
        <v>14744</v>
      </c>
      <c r="G14" s="14">
        <f t="shared" si="1"/>
        <v>-1.9090622434199345E-2</v>
      </c>
      <c r="I14" t="s">
        <v>87</v>
      </c>
      <c r="J14" s="14">
        <v>0.25</v>
      </c>
    </row>
    <row r="15" spans="2:13">
      <c r="B15" s="40">
        <v>44277</v>
      </c>
      <c r="C15" s="41">
        <v>2855.1999510000001</v>
      </c>
      <c r="D15" s="14">
        <f t="shared" si="0"/>
        <v>-3.5503190980759936E-2</v>
      </c>
      <c r="F15" s="37">
        <v>14507.299805000001</v>
      </c>
      <c r="G15" s="14">
        <f t="shared" si="1"/>
        <v>-1.6054001288659747E-2</v>
      </c>
      <c r="L15" s="48" t="s">
        <v>60</v>
      </c>
      <c r="M15" s="48"/>
    </row>
    <row r="16" spans="2:13">
      <c r="B16" s="40">
        <v>44284</v>
      </c>
      <c r="C16" s="41">
        <v>2912.6999510000001</v>
      </c>
      <c r="D16" s="14">
        <f t="shared" si="0"/>
        <v>2.0138694657745981E-2</v>
      </c>
      <c r="F16" s="37">
        <v>14867.349609000001</v>
      </c>
      <c r="G16" s="14">
        <f t="shared" si="1"/>
        <v>2.4818526454930545E-2</v>
      </c>
      <c r="I16" s="49" t="s">
        <v>89</v>
      </c>
      <c r="J16" s="50">
        <f>(J10*J11)+(J13*J14)</f>
        <v>1.1815897228005554</v>
      </c>
      <c r="L16" t="s">
        <v>61</v>
      </c>
      <c r="M16">
        <v>0.51108084476327509</v>
      </c>
    </row>
    <row r="17" spans="2:20">
      <c r="B17" s="40">
        <v>44291</v>
      </c>
      <c r="C17" s="41">
        <v>2947.75</v>
      </c>
      <c r="D17" s="14">
        <f t="shared" si="0"/>
        <v>1.2033525453923444E-2</v>
      </c>
      <c r="F17" s="37">
        <v>14834.849609000001</v>
      </c>
      <c r="G17" s="14">
        <f t="shared" si="1"/>
        <v>-2.1859982347038898E-3</v>
      </c>
      <c r="L17" t="s">
        <v>62</v>
      </c>
      <c r="M17">
        <v>0.26120362988394291</v>
      </c>
    </row>
    <row r="18" spans="2:20">
      <c r="B18" s="40">
        <v>44298</v>
      </c>
      <c r="C18" s="41">
        <v>2919.8999020000001</v>
      </c>
      <c r="D18" s="14">
        <f t="shared" si="0"/>
        <v>-9.4479172250020449E-3</v>
      </c>
      <c r="F18" s="37">
        <v>14617.849609000001</v>
      </c>
      <c r="G18" s="14">
        <f t="shared" si="1"/>
        <v>-1.4627718225626696E-2</v>
      </c>
      <c r="L18" t="s">
        <v>63</v>
      </c>
      <c r="M18">
        <v>0.2539605282161384</v>
      </c>
    </row>
    <row r="19" spans="2:20">
      <c r="B19" s="40">
        <v>44305</v>
      </c>
      <c r="C19" s="41">
        <v>2713.6999510000001</v>
      </c>
      <c r="D19" s="14">
        <f t="shared" si="0"/>
        <v>-7.0618842398933679E-2</v>
      </c>
      <c r="F19" s="37">
        <v>14341.349609000001</v>
      </c>
      <c r="G19" s="14">
        <f t="shared" si="1"/>
        <v>-1.8915230857879606E-2</v>
      </c>
      <c r="L19" t="s">
        <v>64</v>
      </c>
      <c r="M19">
        <v>4.2285168880719627E-2</v>
      </c>
    </row>
    <row r="20" spans="2:20" ht="16" thickBot="1">
      <c r="B20" s="40">
        <v>44312</v>
      </c>
      <c r="C20" s="41">
        <v>2852.8999020000001</v>
      </c>
      <c r="D20" s="14">
        <f t="shared" si="0"/>
        <v>5.1295262377369699E-2</v>
      </c>
      <c r="F20" s="37">
        <v>14631.099609000001</v>
      </c>
      <c r="G20" s="14">
        <f t="shared" si="1"/>
        <v>2.0203816788495699E-2</v>
      </c>
      <c r="L20" s="46" t="s">
        <v>65</v>
      </c>
      <c r="M20" s="46">
        <v>104</v>
      </c>
    </row>
    <row r="21" spans="2:20">
      <c r="B21" s="40">
        <v>44319</v>
      </c>
      <c r="C21" s="41">
        <v>2895.5</v>
      </c>
      <c r="D21" s="14">
        <f t="shared" si="0"/>
        <v>1.4932209142751729E-2</v>
      </c>
      <c r="F21" s="37">
        <v>14823.150390999999</v>
      </c>
      <c r="G21" s="14">
        <f t="shared" si="1"/>
        <v>1.3126202891945438E-2</v>
      </c>
    </row>
    <row r="22" spans="2:20" ht="16" thickBot="1">
      <c r="B22" s="40">
        <v>44326</v>
      </c>
      <c r="C22" s="41">
        <v>2844.6499020000001</v>
      </c>
      <c r="D22" s="14">
        <f t="shared" si="0"/>
        <v>-1.7561767570367759E-2</v>
      </c>
      <c r="F22" s="37">
        <v>14677.799805000001</v>
      </c>
      <c r="G22" s="14">
        <f t="shared" si="1"/>
        <v>-9.8056473938393784E-3</v>
      </c>
      <c r="L22" t="s">
        <v>66</v>
      </c>
    </row>
    <row r="23" spans="2:20">
      <c r="B23" s="40">
        <v>44333</v>
      </c>
      <c r="C23" s="41">
        <v>3034.1499020000001</v>
      </c>
      <c r="D23" s="14">
        <f t="shared" si="0"/>
        <v>6.6616281977886826E-2</v>
      </c>
      <c r="F23" s="37">
        <v>15175.299805000001</v>
      </c>
      <c r="G23" s="14">
        <f t="shared" si="1"/>
        <v>3.3894725817865901E-2</v>
      </c>
      <c r="L23" s="47"/>
      <c r="M23" s="47" t="s">
        <v>71</v>
      </c>
      <c r="N23" s="47" t="s">
        <v>72</v>
      </c>
      <c r="O23" s="47" t="s">
        <v>73</v>
      </c>
      <c r="P23" s="47" t="s">
        <v>74</v>
      </c>
      <c r="Q23" s="47" t="s">
        <v>75</v>
      </c>
    </row>
    <row r="24" spans="2:20">
      <c r="B24" s="40">
        <v>44340</v>
      </c>
      <c r="C24" s="41">
        <v>3022.1000979999999</v>
      </c>
      <c r="D24" s="14">
        <f t="shared" si="0"/>
        <v>-3.971393764051534E-3</v>
      </c>
      <c r="F24" s="37">
        <v>15435.650390999999</v>
      </c>
      <c r="G24" s="14">
        <f t="shared" si="1"/>
        <v>1.7156207082921426E-2</v>
      </c>
      <c r="L24" t="s">
        <v>67</v>
      </c>
      <c r="M24">
        <v>1</v>
      </c>
      <c r="N24">
        <v>6.4480851751198193E-2</v>
      </c>
      <c r="O24">
        <v>6.4480851751198193E-2</v>
      </c>
      <c r="P24">
        <v>36.062400041268319</v>
      </c>
      <c r="Q24">
        <v>2.9630301858897445E-8</v>
      </c>
    </row>
    <row r="25" spans="2:20">
      <c r="B25" s="40">
        <v>44347</v>
      </c>
      <c r="C25" s="41">
        <v>3197</v>
      </c>
      <c r="D25" s="14">
        <f t="shared" si="0"/>
        <v>5.7873629703975471E-2</v>
      </c>
      <c r="F25" s="37">
        <v>15670.25</v>
      </c>
      <c r="G25" s="14">
        <f t="shared" si="1"/>
        <v>1.5198556786229611E-2</v>
      </c>
      <c r="L25" t="s">
        <v>68</v>
      </c>
      <c r="M25">
        <v>102</v>
      </c>
      <c r="N25">
        <v>0.18237962174163994</v>
      </c>
      <c r="O25">
        <v>1.7880355072709797E-3</v>
      </c>
    </row>
    <row r="26" spans="2:20" ht="16" thickBot="1">
      <c r="B26" s="40">
        <v>44354</v>
      </c>
      <c r="C26" s="41">
        <v>3175.5500489999999</v>
      </c>
      <c r="D26" s="14">
        <f t="shared" si="0"/>
        <v>-6.7093997497654767E-3</v>
      </c>
      <c r="F26" s="37">
        <v>15799.349609000001</v>
      </c>
      <c r="G26" s="14">
        <f t="shared" si="1"/>
        <v>8.2385162329892125E-3</v>
      </c>
      <c r="L26" s="46" t="s">
        <v>69</v>
      </c>
      <c r="M26" s="46">
        <v>103</v>
      </c>
      <c r="N26" s="46">
        <v>0.24686047349283813</v>
      </c>
      <c r="O26" s="46"/>
      <c r="P26" s="46"/>
      <c r="Q26" s="46"/>
    </row>
    <row r="27" spans="2:20" ht="16" thickBot="1">
      <c r="B27" s="40">
        <v>44361</v>
      </c>
      <c r="C27" s="41">
        <v>3317.6999510000001</v>
      </c>
      <c r="D27" s="14">
        <f t="shared" si="0"/>
        <v>4.476386761555351E-2</v>
      </c>
      <c r="F27" s="37">
        <v>15683.349609000001</v>
      </c>
      <c r="G27" s="14">
        <f t="shared" si="1"/>
        <v>-7.3420743809555766E-3</v>
      </c>
    </row>
    <row r="28" spans="2:20">
      <c r="B28" s="40">
        <v>44368</v>
      </c>
      <c r="C28" s="41">
        <v>3315.3500979999999</v>
      </c>
      <c r="D28" s="14">
        <f t="shared" si="0"/>
        <v>-7.082777329794343E-4</v>
      </c>
      <c r="F28" s="37">
        <v>15860.349609000001</v>
      </c>
      <c r="G28" s="14">
        <f t="shared" si="1"/>
        <v>1.1285854387791394E-2</v>
      </c>
      <c r="L28" s="47"/>
      <c r="M28" s="47" t="s">
        <v>76</v>
      </c>
      <c r="N28" s="47" t="s">
        <v>64</v>
      </c>
      <c r="O28" s="47" t="s">
        <v>77</v>
      </c>
      <c r="P28" s="47" t="s">
        <v>78</v>
      </c>
      <c r="Q28" s="47" t="s">
        <v>79</v>
      </c>
      <c r="R28" s="47" t="s">
        <v>80</v>
      </c>
      <c r="S28" s="47" t="s">
        <v>81</v>
      </c>
      <c r="T28" s="47" t="s">
        <v>82</v>
      </c>
    </row>
    <row r="29" spans="2:20">
      <c r="B29" s="40">
        <v>44375</v>
      </c>
      <c r="C29" s="41">
        <v>3314.3000489999999</v>
      </c>
      <c r="D29" s="14">
        <f t="shared" si="0"/>
        <v>-3.1672341350419408E-4</v>
      </c>
      <c r="F29" s="37">
        <v>15722.200194999999</v>
      </c>
      <c r="G29" s="14">
        <f t="shared" si="1"/>
        <v>-8.7103637313018512E-3</v>
      </c>
      <c r="L29" t="s">
        <v>70</v>
      </c>
      <c r="M29">
        <v>1.0669115618811139E-4</v>
      </c>
      <c r="N29">
        <v>4.1708464646725736E-3</v>
      </c>
      <c r="O29">
        <v>2.5580216651894194E-2</v>
      </c>
      <c r="P29">
        <v>0.97964214464629351</v>
      </c>
      <c r="Q29">
        <v>-8.166163030683694E-3</v>
      </c>
      <c r="R29">
        <v>8.3795453430599177E-3</v>
      </c>
      <c r="S29">
        <v>-8.166163030683694E-3</v>
      </c>
      <c r="T29">
        <v>8.3795453430599177E-3</v>
      </c>
    </row>
    <row r="30" spans="2:20" ht="16" thickBot="1">
      <c r="B30" s="40">
        <v>44382</v>
      </c>
      <c r="C30" s="41">
        <v>3377.6000979999999</v>
      </c>
      <c r="D30" s="14">
        <f t="shared" si="0"/>
        <v>1.9099070109569238E-2</v>
      </c>
      <c r="F30" s="37">
        <v>15689.799805000001</v>
      </c>
      <c r="G30" s="14">
        <f t="shared" si="1"/>
        <v>-2.0608050780515086E-3</v>
      </c>
      <c r="L30" s="46" t="s">
        <v>83</v>
      </c>
      <c r="M30" s="46">
        <v>1.2421196304007405</v>
      </c>
      <c r="N30" s="46">
        <v>0.20684075390789466</v>
      </c>
      <c r="O30" s="46">
        <v>6.0051977520535011</v>
      </c>
      <c r="P30" s="46">
        <v>2.9630301858896244E-8</v>
      </c>
      <c r="Q30" s="46">
        <v>0.83185197574685965</v>
      </c>
      <c r="R30" s="46">
        <v>1.6523872850546213</v>
      </c>
      <c r="S30" s="46">
        <v>0.83185197574685965</v>
      </c>
      <c r="T30" s="46">
        <v>1.6523872850546213</v>
      </c>
    </row>
    <row r="31" spans="2:20">
      <c r="B31" s="40">
        <v>44389</v>
      </c>
      <c r="C31" s="41">
        <v>3349.1999510000001</v>
      </c>
      <c r="D31" s="14">
        <f t="shared" si="0"/>
        <v>-8.4083805589704186E-3</v>
      </c>
      <c r="F31" s="37">
        <v>15923.400390999999</v>
      </c>
      <c r="G31" s="14">
        <f t="shared" si="1"/>
        <v>1.488869130921322E-2</v>
      </c>
    </row>
    <row r="32" spans="2:20">
      <c r="B32" s="40">
        <v>44396</v>
      </c>
      <c r="C32" s="41">
        <v>3413.1999510000001</v>
      </c>
      <c r="D32" s="14">
        <f t="shared" si="0"/>
        <v>1.9109041244578684E-2</v>
      </c>
      <c r="F32" s="37">
        <v>15856.049805000001</v>
      </c>
      <c r="G32" s="14">
        <f t="shared" si="1"/>
        <v>-4.2296610237889665E-3</v>
      </c>
    </row>
    <row r="33" spans="2:7">
      <c r="B33" s="40">
        <v>44403</v>
      </c>
      <c r="C33" s="41">
        <v>3500.8000489999999</v>
      </c>
      <c r="D33" s="14">
        <f t="shared" si="0"/>
        <v>2.5665094122111043E-2</v>
      </c>
      <c r="F33" s="37">
        <v>15763.049805000001</v>
      </c>
      <c r="G33" s="14">
        <f t="shared" si="1"/>
        <v>-5.8652691650018518E-3</v>
      </c>
    </row>
    <row r="34" spans="2:7">
      <c r="B34" s="40">
        <v>44410</v>
      </c>
      <c r="C34" s="41">
        <v>3529.1999510000001</v>
      </c>
      <c r="D34" s="14">
        <f t="shared" si="0"/>
        <v>8.1124033370922888E-3</v>
      </c>
      <c r="F34" s="37">
        <v>16238.200194999999</v>
      </c>
      <c r="G34" s="14">
        <f t="shared" si="1"/>
        <v>3.0143303223547635E-2</v>
      </c>
    </row>
    <row r="35" spans="2:7">
      <c r="B35" s="40">
        <v>44417</v>
      </c>
      <c r="C35" s="41">
        <v>3594.5500489999999</v>
      </c>
      <c r="D35" s="14">
        <f t="shared" si="0"/>
        <v>1.8516972375419716E-2</v>
      </c>
      <c r="F35" s="37">
        <v>16529.099609000001</v>
      </c>
      <c r="G35" s="14">
        <f t="shared" si="1"/>
        <v>1.79145108760006E-2</v>
      </c>
    </row>
    <row r="36" spans="2:7">
      <c r="B36" s="40">
        <v>44424</v>
      </c>
      <c r="C36" s="41">
        <v>3643.1000979999999</v>
      </c>
      <c r="D36" s="14">
        <f t="shared" si="0"/>
        <v>1.3506571987641713E-2</v>
      </c>
      <c r="F36" s="37">
        <v>16450.5</v>
      </c>
      <c r="G36" s="14">
        <f t="shared" si="1"/>
        <v>-4.7552262893499897E-3</v>
      </c>
    </row>
    <row r="37" spans="2:7">
      <c r="B37" s="40">
        <v>44431</v>
      </c>
      <c r="C37" s="41">
        <v>3833.0500489999999</v>
      </c>
      <c r="D37" s="14">
        <f t="shared" si="0"/>
        <v>5.2139646424834485E-2</v>
      </c>
      <c r="F37" s="37">
        <v>16705.199218999998</v>
      </c>
      <c r="G37" s="14">
        <f t="shared" si="1"/>
        <v>1.5482764596820742E-2</v>
      </c>
    </row>
    <row r="38" spans="2:7">
      <c r="B38" s="40">
        <v>44438</v>
      </c>
      <c r="C38" s="41">
        <v>3938.8999020000001</v>
      </c>
      <c r="D38" s="14">
        <f t="shared" si="0"/>
        <v>2.7615045889529899E-2</v>
      </c>
      <c r="F38" s="37">
        <v>17323.599609000001</v>
      </c>
      <c r="G38" s="14">
        <f t="shared" si="1"/>
        <v>3.7018438504860862E-2</v>
      </c>
    </row>
    <row r="39" spans="2:7">
      <c r="B39" s="40">
        <v>44445</v>
      </c>
      <c r="C39" s="41">
        <v>3950.5</v>
      </c>
      <c r="D39" s="14">
        <f t="shared" si="0"/>
        <v>2.9450095936964793E-3</v>
      </c>
      <c r="F39" s="37">
        <v>17369.25</v>
      </c>
      <c r="G39" s="14">
        <f t="shared" si="1"/>
        <v>2.6351562048503308E-3</v>
      </c>
    </row>
    <row r="40" spans="2:7">
      <c r="B40" s="40">
        <v>44452</v>
      </c>
      <c r="C40" s="41">
        <v>4239.6499020000001</v>
      </c>
      <c r="D40" s="14">
        <f t="shared" si="0"/>
        <v>7.3193241868118042E-2</v>
      </c>
      <c r="F40" s="37">
        <v>17585.150390999999</v>
      </c>
      <c r="G40" s="14">
        <f t="shared" si="1"/>
        <v>1.2430035321041366E-2</v>
      </c>
    </row>
    <row r="41" spans="2:7">
      <c r="B41" s="40">
        <v>44459</v>
      </c>
      <c r="C41" s="41">
        <v>4422.3500979999999</v>
      </c>
      <c r="D41" s="14">
        <f t="shared" si="0"/>
        <v>4.3093227087881214E-2</v>
      </c>
      <c r="F41" s="37">
        <v>17853.199218999998</v>
      </c>
      <c r="G41" s="14">
        <f t="shared" si="1"/>
        <v>1.5242907910368864E-2</v>
      </c>
    </row>
    <row r="42" spans="2:7">
      <c r="B42" s="40">
        <v>44466</v>
      </c>
      <c r="C42" s="41">
        <v>4235.6000979999999</v>
      </c>
      <c r="D42" s="14">
        <f t="shared" si="0"/>
        <v>-4.2228678386285412E-2</v>
      </c>
      <c r="F42" s="37">
        <v>17532.050781000002</v>
      </c>
      <c r="G42" s="14">
        <f t="shared" si="1"/>
        <v>-1.7988285128091697E-2</v>
      </c>
    </row>
    <row r="43" spans="2:7">
      <c r="B43" s="40">
        <v>44473</v>
      </c>
      <c r="C43" s="41">
        <v>4407.9501950000003</v>
      </c>
      <c r="D43" s="14">
        <f t="shared" si="0"/>
        <v>4.0690833178840924E-2</v>
      </c>
      <c r="F43" s="37">
        <v>17895.199218999998</v>
      </c>
      <c r="G43" s="14">
        <f t="shared" si="1"/>
        <v>2.0713403271313213E-2</v>
      </c>
    </row>
    <row r="44" spans="2:7">
      <c r="B44" s="40">
        <v>44480</v>
      </c>
      <c r="C44" s="41">
        <v>5323.75</v>
      </c>
      <c r="D44" s="14">
        <f t="shared" si="0"/>
        <v>0.2077609238958289</v>
      </c>
      <c r="F44" s="37">
        <v>18338.550781000002</v>
      </c>
      <c r="G44" s="14">
        <f t="shared" si="1"/>
        <v>2.4774888313580767E-2</v>
      </c>
    </row>
    <row r="45" spans="2:7">
      <c r="B45" s="40">
        <v>44487</v>
      </c>
      <c r="C45" s="41">
        <v>4521.4501950000003</v>
      </c>
      <c r="D45" s="14">
        <f t="shared" si="0"/>
        <v>-0.1507020061047194</v>
      </c>
      <c r="F45" s="37">
        <v>18114.900390999999</v>
      </c>
      <c r="G45" s="14">
        <f t="shared" si="1"/>
        <v>-1.2195641447944716E-2</v>
      </c>
    </row>
    <row r="46" spans="2:7">
      <c r="B46" s="40">
        <v>44494</v>
      </c>
      <c r="C46" s="41">
        <v>4635.4501950000003</v>
      </c>
      <c r="D46" s="14">
        <f t="shared" si="0"/>
        <v>2.5213149561188475E-2</v>
      </c>
      <c r="F46" s="37">
        <v>17671.650390999999</v>
      </c>
      <c r="G46" s="14">
        <f t="shared" si="1"/>
        <v>-2.4468806917658736E-2</v>
      </c>
    </row>
    <row r="47" spans="2:7">
      <c r="B47" s="40">
        <v>44501</v>
      </c>
      <c r="C47" s="41">
        <v>4783.7001950000003</v>
      </c>
      <c r="D47" s="14">
        <f t="shared" si="0"/>
        <v>3.1981791145099248E-2</v>
      </c>
      <c r="F47" s="37">
        <v>17916.800781000002</v>
      </c>
      <c r="G47" s="14">
        <f t="shared" si="1"/>
        <v>1.3872523764099309E-2</v>
      </c>
    </row>
    <row r="48" spans="2:7">
      <c r="B48" s="40">
        <v>44508</v>
      </c>
      <c r="C48" s="41">
        <v>5078.5498049999997</v>
      </c>
      <c r="D48" s="14">
        <f t="shared" si="0"/>
        <v>6.1636306202504265E-2</v>
      </c>
      <c r="F48" s="37">
        <v>18102.75</v>
      </c>
      <c r="G48" s="14">
        <f t="shared" si="1"/>
        <v>1.0378483372834646E-2</v>
      </c>
    </row>
    <row r="49" spans="2:7">
      <c r="B49" s="40">
        <v>44515</v>
      </c>
      <c r="C49" s="41">
        <v>5080.8999020000001</v>
      </c>
      <c r="D49" s="14">
        <f t="shared" si="0"/>
        <v>4.6274962149372989E-4</v>
      </c>
      <c r="F49" s="37">
        <v>17764.800781000002</v>
      </c>
      <c r="G49" s="14">
        <f t="shared" si="1"/>
        <v>-1.8668391211279944E-2</v>
      </c>
    </row>
    <row r="50" spans="2:7">
      <c r="B50" s="40">
        <v>44522</v>
      </c>
      <c r="C50" s="41">
        <v>4718.75</v>
      </c>
      <c r="D50" s="14">
        <f t="shared" si="0"/>
        <v>-7.1276724396291846E-2</v>
      </c>
      <c r="F50" s="37">
        <v>17026.449218999998</v>
      </c>
      <c r="G50" s="14">
        <f t="shared" si="1"/>
        <v>-4.1562614245001406E-2</v>
      </c>
    </row>
    <row r="51" spans="2:7">
      <c r="B51" s="40">
        <v>44529</v>
      </c>
      <c r="C51" s="41">
        <v>4799.0498049999997</v>
      </c>
      <c r="D51" s="14">
        <f t="shared" si="0"/>
        <v>1.7017177218543011E-2</v>
      </c>
      <c r="F51" s="37">
        <v>17196.699218999998</v>
      </c>
      <c r="G51" s="14">
        <f t="shared" si="1"/>
        <v>9.9991488424970854E-3</v>
      </c>
    </row>
    <row r="52" spans="2:7">
      <c r="B52" s="40">
        <v>44536</v>
      </c>
      <c r="C52" s="41">
        <v>4796.6000979999999</v>
      </c>
      <c r="D52" s="14">
        <f t="shared" si="0"/>
        <v>-5.1045667362059621E-4</v>
      </c>
      <c r="F52" s="37">
        <v>17511.300781000002</v>
      </c>
      <c r="G52" s="14">
        <f t="shared" si="1"/>
        <v>1.8294299271828462E-2</v>
      </c>
    </row>
    <row r="53" spans="2:7">
      <c r="B53" s="40">
        <v>44543</v>
      </c>
      <c r="C53" s="41">
        <v>4697.7998049999997</v>
      </c>
      <c r="D53" s="14">
        <f t="shared" si="0"/>
        <v>-2.059798419326142E-2</v>
      </c>
      <c r="F53" s="37">
        <v>16985.199218999998</v>
      </c>
      <c r="G53" s="14">
        <f t="shared" si="1"/>
        <v>-3.0043545512668635E-2</v>
      </c>
    </row>
    <row r="54" spans="2:7">
      <c r="B54" s="40">
        <v>44550</v>
      </c>
      <c r="C54" s="41">
        <v>4628.8999020000001</v>
      </c>
      <c r="D54" s="14">
        <f t="shared" si="0"/>
        <v>-1.4666419570852574E-2</v>
      </c>
      <c r="F54" s="37">
        <v>17003.75</v>
      </c>
      <c r="G54" s="14">
        <f t="shared" si="1"/>
        <v>1.0921732951623131E-3</v>
      </c>
    </row>
    <row r="55" spans="2:7">
      <c r="B55" s="40">
        <v>44557</v>
      </c>
      <c r="C55" s="41">
        <v>4671.4501950000003</v>
      </c>
      <c r="D55" s="14">
        <f t="shared" si="0"/>
        <v>9.1923121909842642E-3</v>
      </c>
      <c r="F55" s="37">
        <v>17354.050781000002</v>
      </c>
      <c r="G55" s="14">
        <f t="shared" si="1"/>
        <v>2.0601383871204915E-2</v>
      </c>
    </row>
    <row r="56" spans="2:7">
      <c r="B56" s="40">
        <v>44564</v>
      </c>
      <c r="C56" s="41">
        <v>4731.3500979999999</v>
      </c>
      <c r="D56" s="14">
        <f t="shared" si="0"/>
        <v>1.2822549850603604E-2</v>
      </c>
      <c r="F56" s="37">
        <v>17812.699218999998</v>
      </c>
      <c r="G56" s="14">
        <f t="shared" si="1"/>
        <v>2.6428898001275014E-2</v>
      </c>
    </row>
    <row r="57" spans="2:7">
      <c r="B57" s="40">
        <v>44571</v>
      </c>
      <c r="C57" s="41">
        <v>4322.7001950000003</v>
      </c>
      <c r="D57" s="14">
        <f t="shared" si="0"/>
        <v>-8.6370675290492804E-2</v>
      </c>
      <c r="F57" s="37">
        <v>18255.75</v>
      </c>
      <c r="G57" s="14">
        <f t="shared" si="1"/>
        <v>2.4872748119354027E-2</v>
      </c>
    </row>
    <row r="58" spans="2:7">
      <c r="B58" s="40">
        <v>44578</v>
      </c>
      <c r="C58" s="41">
        <v>4299.7998049999997</v>
      </c>
      <c r="D58" s="14">
        <f t="shared" si="0"/>
        <v>-5.2977048990094922E-3</v>
      </c>
      <c r="F58" s="37">
        <v>17617.150390999999</v>
      </c>
      <c r="G58" s="14">
        <f t="shared" si="1"/>
        <v>-3.4980738068827621E-2</v>
      </c>
    </row>
    <row r="59" spans="2:7">
      <c r="B59" s="40">
        <v>44585</v>
      </c>
      <c r="C59" s="41">
        <v>4076</v>
      </c>
      <c r="D59" s="14">
        <f t="shared" si="0"/>
        <v>-5.2048889518008568E-2</v>
      </c>
      <c r="F59" s="37">
        <v>17101.949218999998</v>
      </c>
      <c r="G59" s="14">
        <f t="shared" si="1"/>
        <v>-2.9244296640800638E-2</v>
      </c>
    </row>
    <row r="60" spans="2:7">
      <c r="B60" s="40">
        <v>44592</v>
      </c>
      <c r="C60" s="41">
        <v>4081.8999020000001</v>
      </c>
      <c r="D60" s="14">
        <f t="shared" si="0"/>
        <v>1.4474735034346597E-3</v>
      </c>
      <c r="F60" s="37">
        <v>17516.300781000002</v>
      </c>
      <c r="G60" s="14">
        <f t="shared" si="1"/>
        <v>2.4228323724623468E-2</v>
      </c>
    </row>
    <row r="61" spans="2:7">
      <c r="B61" s="40">
        <v>44599</v>
      </c>
      <c r="C61" s="41">
        <v>4142.25</v>
      </c>
      <c r="D61" s="14">
        <f t="shared" si="0"/>
        <v>1.4784805960192715E-2</v>
      </c>
      <c r="F61" s="37">
        <v>17374.75</v>
      </c>
      <c r="G61" s="14">
        <f t="shared" si="1"/>
        <v>-8.0810887395552644E-3</v>
      </c>
    </row>
    <row r="62" spans="2:7">
      <c r="B62" s="40">
        <v>44606</v>
      </c>
      <c r="C62" s="41">
        <v>4073.1000979999999</v>
      </c>
      <c r="D62" s="14">
        <f t="shared" si="0"/>
        <v>-1.6693802160661519E-2</v>
      </c>
      <c r="F62" s="37">
        <v>17276.300781000002</v>
      </c>
      <c r="G62" s="14">
        <f t="shared" si="1"/>
        <v>-5.66622362911684E-3</v>
      </c>
    </row>
    <row r="63" spans="2:7">
      <c r="B63" s="40">
        <v>44613</v>
      </c>
      <c r="C63" s="41">
        <v>4190.75</v>
      </c>
      <c r="D63" s="14">
        <f t="shared" si="0"/>
        <v>2.8884608570697523E-2</v>
      </c>
      <c r="F63" s="37">
        <v>16658.400390999999</v>
      </c>
      <c r="G63" s="14">
        <f t="shared" si="1"/>
        <v>-3.5765780987070617E-2</v>
      </c>
    </row>
    <row r="64" spans="2:7">
      <c r="B64" s="40">
        <v>44620</v>
      </c>
      <c r="C64" s="41">
        <v>4110.2001950000003</v>
      </c>
      <c r="D64" s="14">
        <f t="shared" si="0"/>
        <v>-1.9220856648571205E-2</v>
      </c>
      <c r="F64" s="37">
        <v>16245.349609000001</v>
      </c>
      <c r="G64" s="14">
        <f t="shared" si="1"/>
        <v>-2.479534482933643E-2</v>
      </c>
    </row>
    <row r="65" spans="2:7">
      <c r="B65" s="40">
        <v>44627</v>
      </c>
      <c r="C65" s="41">
        <v>4198.9501950000003</v>
      </c>
      <c r="D65" s="14">
        <f t="shared" si="0"/>
        <v>2.1592622205595546E-2</v>
      </c>
      <c r="F65" s="37">
        <v>16630.449218999998</v>
      </c>
      <c r="G65" s="14">
        <f t="shared" si="1"/>
        <v>2.3705221449137115E-2</v>
      </c>
    </row>
    <row r="66" spans="2:7">
      <c r="B66" s="40">
        <v>44634</v>
      </c>
      <c r="C66" s="41">
        <v>4192.75</v>
      </c>
      <c r="D66" s="14">
        <f t="shared" si="0"/>
        <v>-1.476605987702162E-3</v>
      </c>
      <c r="F66" s="37">
        <v>17287.050781000002</v>
      </c>
      <c r="G66" s="14">
        <f t="shared" si="1"/>
        <v>3.9481889716475482E-2</v>
      </c>
    </row>
    <row r="67" spans="2:7">
      <c r="B67" s="40">
        <v>44641</v>
      </c>
      <c r="C67" s="41">
        <v>4001.3000489999999</v>
      </c>
      <c r="D67" s="14">
        <f t="shared" si="0"/>
        <v>-4.5662143223421436E-2</v>
      </c>
      <c r="F67" s="37">
        <v>17153</v>
      </c>
      <c r="G67" s="14">
        <f t="shared" si="1"/>
        <v>-7.7544043051771538E-3</v>
      </c>
    </row>
    <row r="68" spans="2:7">
      <c r="B68" s="40">
        <v>44648</v>
      </c>
      <c r="C68" s="41">
        <v>4082.1999510000001</v>
      </c>
      <c r="D68" s="14">
        <f t="shared" si="0"/>
        <v>2.0218404270936574E-2</v>
      </c>
      <c r="F68" s="37">
        <v>17670.449218999998</v>
      </c>
      <c r="G68" s="14">
        <f t="shared" si="1"/>
        <v>3.0166689150585846E-2</v>
      </c>
    </row>
    <row r="69" spans="2:7">
      <c r="B69" s="40">
        <v>44655</v>
      </c>
      <c r="C69" s="41">
        <v>4146.25</v>
      </c>
      <c r="D69" s="14">
        <f t="shared" si="0"/>
        <v>1.5690081272062617E-2</v>
      </c>
      <c r="F69" s="37">
        <v>17784.349609000001</v>
      </c>
      <c r="G69" s="14">
        <f t="shared" si="1"/>
        <v>6.4458117950692007E-3</v>
      </c>
    </row>
    <row r="70" spans="2:7">
      <c r="B70" s="40">
        <v>44662</v>
      </c>
      <c r="C70" s="41">
        <v>4090.8999020000001</v>
      </c>
      <c r="D70" s="14">
        <f t="shared" si="0"/>
        <v>-1.3349435755200423E-2</v>
      </c>
      <c r="F70" s="37">
        <v>17475.650390999999</v>
      </c>
      <c r="G70" s="14">
        <f t="shared" si="1"/>
        <v>-1.7357914390289553E-2</v>
      </c>
    </row>
    <row r="71" spans="2:7">
      <c r="B71" s="40">
        <v>44669</v>
      </c>
      <c r="C71" s="41">
        <v>4028.8500979999999</v>
      </c>
      <c r="D71" s="14">
        <f t="shared" si="0"/>
        <v>-1.5167763936161038E-2</v>
      </c>
      <c r="F71" s="37">
        <v>17171.949218999998</v>
      </c>
      <c r="G71" s="14">
        <f t="shared" si="1"/>
        <v>-1.7378533285170805E-2</v>
      </c>
    </row>
    <row r="72" spans="2:7">
      <c r="B72" s="40">
        <v>44676</v>
      </c>
      <c r="C72" s="41">
        <v>3944.25</v>
      </c>
      <c r="D72" s="14">
        <f t="shared" si="0"/>
        <v>-2.0998571786524645E-2</v>
      </c>
      <c r="F72" s="37">
        <v>17102.550781000002</v>
      </c>
      <c r="G72" s="14">
        <f t="shared" si="1"/>
        <v>-4.041383835634127E-3</v>
      </c>
    </row>
    <row r="73" spans="2:7">
      <c r="B73" s="40">
        <v>44683</v>
      </c>
      <c r="C73" s="41">
        <v>3666.1999510000001</v>
      </c>
      <c r="D73" s="14">
        <f t="shared" si="0"/>
        <v>-7.0495036825758972E-2</v>
      </c>
      <c r="F73" s="37">
        <v>16411.25</v>
      </c>
      <c r="G73" s="14">
        <f t="shared" si="1"/>
        <v>-4.0420916730619982E-2</v>
      </c>
    </row>
    <row r="74" spans="2:7">
      <c r="B74" s="40">
        <v>44690</v>
      </c>
      <c r="C74" s="41">
        <v>3230.6000979999999</v>
      </c>
      <c r="D74" s="14">
        <f t="shared" si="0"/>
        <v>-0.11881508341660008</v>
      </c>
      <c r="F74" s="37">
        <v>15782.150390999999</v>
      </c>
      <c r="G74" s="14">
        <f t="shared" si="1"/>
        <v>-3.8333436453652281E-2</v>
      </c>
    </row>
    <row r="75" spans="2:7">
      <c r="B75" s="40">
        <v>44697</v>
      </c>
      <c r="C75" s="41">
        <v>3630.3999020000001</v>
      </c>
      <c r="D75" s="14">
        <f t="shared" si="0"/>
        <v>0.12375403698139809</v>
      </c>
      <c r="F75" s="37">
        <v>16266.150390999999</v>
      </c>
      <c r="G75" s="14">
        <f t="shared" si="1"/>
        <v>3.0667557209187901E-2</v>
      </c>
    </row>
    <row r="76" spans="2:7">
      <c r="B76" s="40">
        <v>44704</v>
      </c>
      <c r="C76" s="41">
        <v>3613.8500979999999</v>
      </c>
      <c r="D76" s="14">
        <f t="shared" si="0"/>
        <v>-4.5586724456672112E-3</v>
      </c>
      <c r="F76" s="37">
        <v>16352.450194999999</v>
      </c>
      <c r="G76" s="14">
        <f t="shared" si="1"/>
        <v>5.3054842064996777E-3</v>
      </c>
    </row>
    <row r="77" spans="2:7">
      <c r="B77" s="40">
        <v>44711</v>
      </c>
      <c r="C77" s="41">
        <v>3820.1000979999999</v>
      </c>
      <c r="D77" s="14">
        <f t="shared" ref="D77:D115" si="2">C77/C76-1</f>
        <v>5.7072096076742129E-2</v>
      </c>
      <c r="F77" s="37">
        <v>16584.300781000002</v>
      </c>
      <c r="G77" s="14">
        <f t="shared" ref="G77:G115" si="3">F77/F76-1</f>
        <v>1.4178339223494207E-2</v>
      </c>
    </row>
    <row r="78" spans="2:7">
      <c r="B78" s="40">
        <v>44718</v>
      </c>
      <c r="C78" s="41">
        <v>3755.6499020000001</v>
      </c>
      <c r="D78" s="14">
        <f t="shared" si="2"/>
        <v>-1.6871336966730932E-2</v>
      </c>
      <c r="F78" s="37">
        <v>16201.799805000001</v>
      </c>
      <c r="G78" s="14">
        <f t="shared" si="3"/>
        <v>-2.3064039964724836E-2</v>
      </c>
    </row>
    <row r="79" spans="2:7">
      <c r="B79" s="40">
        <v>44725</v>
      </c>
      <c r="C79" s="41">
        <v>3460.5500489999999</v>
      </c>
      <c r="D79" s="14">
        <f t="shared" si="2"/>
        <v>-7.857490998904082E-2</v>
      </c>
      <c r="F79" s="37">
        <v>15293.5</v>
      </c>
      <c r="G79" s="14">
        <f t="shared" si="3"/>
        <v>-5.606166079892505E-2</v>
      </c>
    </row>
    <row r="80" spans="2:7">
      <c r="B80" s="40">
        <v>44732</v>
      </c>
      <c r="C80" s="41">
        <v>3412</v>
      </c>
      <c r="D80" s="14">
        <f t="shared" si="2"/>
        <v>-1.4029575735808097E-2</v>
      </c>
      <c r="F80" s="37">
        <v>15699.25</v>
      </c>
      <c r="G80" s="14">
        <f t="shared" si="3"/>
        <v>2.6530879131657192E-2</v>
      </c>
    </row>
    <row r="81" spans="2:7">
      <c r="B81" s="40">
        <v>44739</v>
      </c>
      <c r="C81" s="41">
        <v>3388.75</v>
      </c>
      <c r="D81" s="14">
        <f t="shared" si="2"/>
        <v>-6.8141852286048854E-3</v>
      </c>
      <c r="F81" s="37">
        <v>15752.049805000001</v>
      </c>
      <c r="G81" s="14">
        <f t="shared" si="3"/>
        <v>3.3632055671448668E-3</v>
      </c>
    </row>
    <row r="82" spans="2:7">
      <c r="B82" s="40">
        <v>44746</v>
      </c>
      <c r="C82" s="41">
        <v>3941.6999510000001</v>
      </c>
      <c r="D82" s="14">
        <f t="shared" si="2"/>
        <v>0.16317224669863517</v>
      </c>
      <c r="F82" s="37">
        <v>16220.599609000001</v>
      </c>
      <c r="G82" s="14">
        <f t="shared" si="3"/>
        <v>2.9745322659611828E-2</v>
      </c>
    </row>
    <row r="83" spans="2:7">
      <c r="B83" s="40">
        <v>44753</v>
      </c>
      <c r="C83" s="41">
        <v>3926.8000489999999</v>
      </c>
      <c r="D83" s="14">
        <f t="shared" si="2"/>
        <v>-3.7800700675403309E-3</v>
      </c>
      <c r="F83" s="37">
        <v>16049.200194999999</v>
      </c>
      <c r="G83" s="14">
        <f t="shared" si="3"/>
        <v>-1.0566774233481513E-2</v>
      </c>
    </row>
    <row r="84" spans="2:7">
      <c r="B84" s="40">
        <v>44760</v>
      </c>
      <c r="C84" s="41">
        <v>3963.3999020000001</v>
      </c>
      <c r="D84" s="14">
        <f t="shared" si="2"/>
        <v>9.3205288131033015E-3</v>
      </c>
      <c r="F84" s="37">
        <v>16719.449218999998</v>
      </c>
      <c r="G84" s="14">
        <f t="shared" si="3"/>
        <v>4.1762144895470144E-2</v>
      </c>
    </row>
    <row r="85" spans="2:7">
      <c r="B85" s="40">
        <v>44767</v>
      </c>
      <c r="C85" s="41">
        <v>4243.8500979999999</v>
      </c>
      <c r="D85" s="14">
        <f t="shared" si="2"/>
        <v>7.0760004777332686E-2</v>
      </c>
      <c r="F85" s="37">
        <v>17158.25</v>
      </c>
      <c r="G85" s="14">
        <f t="shared" si="3"/>
        <v>2.6244930395275645E-2</v>
      </c>
    </row>
    <row r="86" spans="2:7">
      <c r="B86" s="40">
        <v>44774</v>
      </c>
      <c r="C86" s="41">
        <v>4232.25</v>
      </c>
      <c r="D86" s="14">
        <f t="shared" si="2"/>
        <v>-2.7333901368162827E-3</v>
      </c>
      <c r="F86" s="37">
        <v>17397.5</v>
      </c>
      <c r="G86" s="14">
        <f t="shared" si="3"/>
        <v>1.3943729692713402E-2</v>
      </c>
    </row>
    <row r="87" spans="2:7">
      <c r="B87" s="40">
        <v>44781</v>
      </c>
      <c r="C87" s="41">
        <v>4336.7001950000003</v>
      </c>
      <c r="D87" s="14">
        <f t="shared" si="2"/>
        <v>2.4679590052572697E-2</v>
      </c>
      <c r="F87" s="37">
        <v>17698.150390999999</v>
      </c>
      <c r="G87" s="14">
        <f t="shared" si="3"/>
        <v>1.7281241040379314E-2</v>
      </c>
    </row>
    <row r="88" spans="2:7">
      <c r="B88" s="40">
        <v>44788</v>
      </c>
      <c r="C88" s="41">
        <v>4382</v>
      </c>
      <c r="D88" s="14">
        <f t="shared" si="2"/>
        <v>1.0445685189911957E-2</v>
      </c>
      <c r="F88" s="37">
        <v>17758.449218999998</v>
      </c>
      <c r="G88" s="14">
        <f t="shared" si="3"/>
        <v>3.4070694771959342E-3</v>
      </c>
    </row>
    <row r="89" spans="2:7">
      <c r="B89" s="40">
        <v>44795</v>
      </c>
      <c r="C89" s="41">
        <v>4409.6499020000001</v>
      </c>
      <c r="D89" s="14">
        <f t="shared" si="2"/>
        <v>6.3098817891373837E-3</v>
      </c>
      <c r="F89" s="37">
        <v>17558.900390999999</v>
      </c>
      <c r="G89" s="14">
        <f t="shared" si="3"/>
        <v>-1.1236838619134604E-2</v>
      </c>
    </row>
    <row r="90" spans="2:7">
      <c r="B90" s="40">
        <v>44802</v>
      </c>
      <c r="C90" s="41">
        <v>4576.7998049999997</v>
      </c>
      <c r="D90" s="14">
        <f t="shared" si="2"/>
        <v>3.7905481549496356E-2</v>
      </c>
      <c r="F90" s="37">
        <v>17539.449218999998</v>
      </c>
      <c r="G90" s="14">
        <f t="shared" si="3"/>
        <v>-1.1077670905844661E-3</v>
      </c>
    </row>
    <row r="91" spans="2:7">
      <c r="B91" s="40">
        <v>44809</v>
      </c>
      <c r="C91" s="41">
        <v>4386.1000979999999</v>
      </c>
      <c r="D91" s="14">
        <f t="shared" si="2"/>
        <v>-4.1666604423393538E-2</v>
      </c>
      <c r="F91" s="37">
        <v>17833.349609000001</v>
      </c>
      <c r="G91" s="14">
        <f t="shared" si="3"/>
        <v>1.6756534730955508E-2</v>
      </c>
    </row>
    <row r="92" spans="2:7">
      <c r="B92" s="40">
        <v>44816</v>
      </c>
      <c r="C92" s="41">
        <v>4327.5498049999997</v>
      </c>
      <c r="D92" s="14">
        <f t="shared" si="2"/>
        <v>-1.334905535482378E-2</v>
      </c>
      <c r="F92" s="37">
        <v>17530.849609000001</v>
      </c>
      <c r="G92" s="14">
        <f t="shared" si="3"/>
        <v>-1.6962601341440453E-2</v>
      </c>
    </row>
    <row r="93" spans="2:7">
      <c r="B93" s="40">
        <v>44823</v>
      </c>
      <c r="C93" s="41">
        <v>4367</v>
      </c>
      <c r="D93" s="14">
        <f t="shared" si="2"/>
        <v>9.1160579953164511E-3</v>
      </c>
      <c r="F93" s="37">
        <v>17327.349609000001</v>
      </c>
      <c r="G93" s="14">
        <f t="shared" si="3"/>
        <v>-1.1608108251383698E-2</v>
      </c>
    </row>
    <row r="94" spans="2:7">
      <c r="B94" s="40">
        <v>44830</v>
      </c>
      <c r="C94" s="41">
        <v>4386.5498049999997</v>
      </c>
      <c r="D94" s="14">
        <f t="shared" si="2"/>
        <v>4.4767128463474304E-3</v>
      </c>
      <c r="F94" s="37">
        <v>17094.349609000001</v>
      </c>
      <c r="G94" s="14">
        <f t="shared" si="3"/>
        <v>-1.3446949779265527E-2</v>
      </c>
    </row>
    <row r="95" spans="2:7">
      <c r="B95" s="40">
        <v>44837</v>
      </c>
      <c r="C95" s="41">
        <v>4471.4501950000003</v>
      </c>
      <c r="D95" s="14">
        <f t="shared" si="2"/>
        <v>1.9354707862481613E-2</v>
      </c>
      <c r="F95" s="37">
        <v>17314.650390999999</v>
      </c>
      <c r="G95" s="14">
        <f t="shared" si="3"/>
        <v>1.2887345060733635E-2</v>
      </c>
    </row>
    <row r="96" spans="2:7">
      <c r="B96" s="40">
        <v>44844</v>
      </c>
      <c r="C96" s="41">
        <v>4306.1499020000001</v>
      </c>
      <c r="D96" s="14">
        <f t="shared" si="2"/>
        <v>-3.6967937870545864E-2</v>
      </c>
      <c r="F96" s="37">
        <v>17185.699218999998</v>
      </c>
      <c r="G96" s="14">
        <f t="shared" si="3"/>
        <v>-7.4475180894804094E-3</v>
      </c>
    </row>
    <row r="97" spans="2:7">
      <c r="B97" s="40">
        <v>44851</v>
      </c>
      <c r="C97" s="41">
        <v>4215.5498049999997</v>
      </c>
      <c r="D97" s="14">
        <f t="shared" si="2"/>
        <v>-2.1039698817247654E-2</v>
      </c>
      <c r="F97" s="37">
        <v>17576.300781000002</v>
      </c>
      <c r="G97" s="14">
        <f t="shared" si="3"/>
        <v>2.2728290366455628E-2</v>
      </c>
    </row>
    <row r="98" spans="2:7">
      <c r="B98" s="40">
        <v>44858</v>
      </c>
      <c r="C98" s="41">
        <v>4307.3500979999999</v>
      </c>
      <c r="D98" s="14">
        <f t="shared" si="2"/>
        <v>2.1776588403988884E-2</v>
      </c>
      <c r="F98" s="37">
        <v>17786.800781000002</v>
      </c>
      <c r="G98" s="14">
        <f t="shared" si="3"/>
        <v>1.197635399068453E-2</v>
      </c>
    </row>
    <row r="99" spans="2:7">
      <c r="B99" s="40">
        <v>44865</v>
      </c>
      <c r="C99" s="41">
        <v>4167.3500979999999</v>
      </c>
      <c r="D99" s="14">
        <f t="shared" si="2"/>
        <v>-3.2502582055033091E-2</v>
      </c>
      <c r="F99" s="37">
        <v>18117.150390999999</v>
      </c>
      <c r="G99" s="14">
        <f t="shared" si="3"/>
        <v>1.8572739081492262E-2</v>
      </c>
    </row>
    <row r="100" spans="2:7">
      <c r="B100" s="40">
        <v>44872</v>
      </c>
      <c r="C100" s="41">
        <v>4128.3500979999999</v>
      </c>
      <c r="D100" s="14">
        <f t="shared" si="2"/>
        <v>-9.3584649916302887E-3</v>
      </c>
      <c r="F100" s="37">
        <v>18349.699218999998</v>
      </c>
      <c r="G100" s="14">
        <f t="shared" si="3"/>
        <v>1.2835839134808014E-2</v>
      </c>
    </row>
    <row r="101" spans="2:7">
      <c r="B101" s="40">
        <v>44879</v>
      </c>
      <c r="C101" s="41">
        <v>3910.6000979999999</v>
      </c>
      <c r="D101" s="14">
        <f t="shared" si="2"/>
        <v>-5.2745042167206213E-2</v>
      </c>
      <c r="F101" s="37">
        <v>18307.650390999999</v>
      </c>
      <c r="G101" s="14">
        <f t="shared" si="3"/>
        <v>-2.2915268254892762E-3</v>
      </c>
    </row>
    <row r="102" spans="2:7">
      <c r="B102" s="40">
        <v>44886</v>
      </c>
      <c r="C102" s="41">
        <v>3904.4499510000001</v>
      </c>
      <c r="D102" s="14">
        <f t="shared" si="2"/>
        <v>-1.5726862491373117E-3</v>
      </c>
      <c r="F102" s="37">
        <v>18512.75</v>
      </c>
      <c r="G102" s="14">
        <f t="shared" si="3"/>
        <v>1.1202945469224623E-2</v>
      </c>
    </row>
    <row r="103" spans="2:7">
      <c r="B103" s="40">
        <v>44893</v>
      </c>
      <c r="C103" s="41">
        <v>4005.75</v>
      </c>
      <c r="D103" s="14">
        <f t="shared" si="2"/>
        <v>2.5944768218646219E-2</v>
      </c>
      <c r="F103" s="37">
        <v>18696.099609000001</v>
      </c>
      <c r="G103" s="14">
        <f t="shared" si="3"/>
        <v>9.9039639707769744E-3</v>
      </c>
    </row>
    <row r="104" spans="2:7">
      <c r="B104" s="40">
        <v>44900</v>
      </c>
      <c r="C104" s="41">
        <v>4002.3999020000001</v>
      </c>
      <c r="D104" s="14">
        <f t="shared" si="2"/>
        <v>-8.3632228671282061E-4</v>
      </c>
      <c r="F104" s="37">
        <v>18496.599609000001</v>
      </c>
      <c r="G104" s="14">
        <f t="shared" si="3"/>
        <v>-1.0670674855838058E-2</v>
      </c>
    </row>
    <row r="105" spans="2:7">
      <c r="B105" s="40">
        <v>44907</v>
      </c>
      <c r="C105" s="41">
        <v>3990</v>
      </c>
      <c r="D105" s="14">
        <f t="shared" si="2"/>
        <v>-3.0981167058803383E-3</v>
      </c>
      <c r="F105" s="37">
        <v>18269</v>
      </c>
      <c r="G105" s="14">
        <f t="shared" si="3"/>
        <v>-1.2304943276668867E-2</v>
      </c>
    </row>
    <row r="106" spans="2:7">
      <c r="B106" s="40">
        <v>44914</v>
      </c>
      <c r="C106" s="41">
        <v>3875.6000979999999</v>
      </c>
      <c r="D106" s="14">
        <f t="shared" si="2"/>
        <v>-2.8671654636591493E-2</v>
      </c>
      <c r="F106" s="37">
        <v>17806.800781000002</v>
      </c>
      <c r="G106" s="14">
        <f t="shared" si="3"/>
        <v>-2.529964524604511E-2</v>
      </c>
    </row>
    <row r="107" spans="2:7">
      <c r="B107" s="40">
        <v>44921</v>
      </c>
      <c r="C107" s="41">
        <v>4068.75</v>
      </c>
      <c r="D107" s="14">
        <f t="shared" si="2"/>
        <v>4.9837417978102261E-2</v>
      </c>
      <c r="F107" s="37">
        <v>18105.300781000002</v>
      </c>
      <c r="G107" s="14">
        <f t="shared" si="3"/>
        <v>1.6763258244484991E-2</v>
      </c>
    </row>
    <row r="108" spans="2:7">
      <c r="B108" s="40">
        <v>44928</v>
      </c>
      <c r="C108" s="41">
        <v>3842.5</v>
      </c>
      <c r="D108" s="14">
        <f t="shared" si="2"/>
        <v>-5.5606758832565273E-2</v>
      </c>
      <c r="F108" s="37">
        <v>17859.449218999998</v>
      </c>
      <c r="G108" s="14">
        <f t="shared" si="3"/>
        <v>-1.3578982474458767E-2</v>
      </c>
    </row>
    <row r="109" spans="2:7">
      <c r="B109" s="40">
        <v>44935</v>
      </c>
      <c r="C109" s="41">
        <v>3863.6999510000001</v>
      </c>
      <c r="D109" s="14">
        <f t="shared" si="2"/>
        <v>5.517228627195836E-3</v>
      </c>
      <c r="F109" s="37">
        <v>17956.599609000001</v>
      </c>
      <c r="G109" s="14">
        <f t="shared" si="3"/>
        <v>5.4397192661825855E-3</v>
      </c>
    </row>
    <row r="110" spans="2:7">
      <c r="B110" s="40">
        <v>44942</v>
      </c>
      <c r="C110" s="41">
        <v>3513.75</v>
      </c>
      <c r="D110" s="14">
        <f t="shared" si="2"/>
        <v>-9.0573790780370089E-2</v>
      </c>
      <c r="F110" s="37">
        <v>18027.650390999999</v>
      </c>
      <c r="G110" s="14">
        <f t="shared" si="3"/>
        <v>3.9568060516528281E-3</v>
      </c>
    </row>
    <row r="111" spans="2:7">
      <c r="B111" s="40">
        <v>44949</v>
      </c>
      <c r="C111" s="41">
        <v>3562.3500979999999</v>
      </c>
      <c r="D111" s="14">
        <f t="shared" si="2"/>
        <v>1.3831404624688792E-2</v>
      </c>
      <c r="F111" s="37">
        <v>17604.349609000001</v>
      </c>
      <c r="G111" s="14">
        <f t="shared" si="3"/>
        <v>-2.3480640727941093E-2</v>
      </c>
    </row>
    <row r="112" spans="2:7">
      <c r="B112" s="40">
        <v>44956</v>
      </c>
      <c r="C112" s="41">
        <v>3470.3500979999999</v>
      </c>
      <c r="D112" s="14">
        <f t="shared" si="2"/>
        <v>-2.5825648088785957E-2</v>
      </c>
      <c r="F112" s="37">
        <v>17854.050781000002</v>
      </c>
      <c r="G112" s="14">
        <f t="shared" si="3"/>
        <v>1.4184061186352848E-2</v>
      </c>
    </row>
    <row r="113" spans="2:7">
      <c r="B113" s="40">
        <v>44963</v>
      </c>
      <c r="C113" s="41">
        <v>3498.8500979999999</v>
      </c>
      <c r="D113" s="14">
        <f t="shared" si="2"/>
        <v>8.2124279093411801E-3</v>
      </c>
      <c r="F113" s="37">
        <v>17856.5</v>
      </c>
      <c r="G113" s="14">
        <f t="shared" si="3"/>
        <v>1.371800175793414E-4</v>
      </c>
    </row>
    <row r="114" spans="2:7">
      <c r="B114" s="40">
        <v>44970</v>
      </c>
      <c r="C114" s="41">
        <v>3545</v>
      </c>
      <c r="D114" s="14">
        <f t="shared" si="2"/>
        <v>1.3190019780035867E-2</v>
      </c>
      <c r="F114" s="37">
        <v>17944.199218999998</v>
      </c>
      <c r="G114" s="14">
        <f t="shared" si="3"/>
        <v>4.9113330719905424E-3</v>
      </c>
    </row>
    <row r="115" spans="2:7">
      <c r="B115" s="40">
        <v>44977</v>
      </c>
      <c r="C115" s="41">
        <v>3552.8500979999999</v>
      </c>
      <c r="D115" s="14">
        <f t="shared" si="2"/>
        <v>2.2144141043722865E-3</v>
      </c>
      <c r="F115" s="37">
        <v>17844.599609000001</v>
      </c>
      <c r="G115" s="14">
        <f t="shared" si="3"/>
        <v>-5.550518514893521E-3</v>
      </c>
    </row>
  </sheetData>
  <mergeCells count="3">
    <mergeCell ref="B8:D8"/>
    <mergeCell ref="F8:G8"/>
    <mergeCell ref="I8:J8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7DD1D-EA6A-4D88-9BB4-8F4EE9A886E0}">
  <dimension ref="B1:K11"/>
  <sheetViews>
    <sheetView showGridLines="0" workbookViewId="0">
      <selection activeCell="D21" sqref="D1:D21"/>
    </sheetView>
  </sheetViews>
  <sheetFormatPr baseColWidth="10" defaultColWidth="8.83203125" defaultRowHeight="15"/>
  <cols>
    <col min="1" max="1" width="1.83203125" customWidth="1"/>
    <col min="3" max="3" width="16.1640625" bestFit="1" customWidth="1"/>
    <col min="4" max="4" width="8.33203125" bestFit="1" customWidth="1"/>
    <col min="5" max="5" width="14.5" bestFit="1" customWidth="1"/>
    <col min="6" max="6" width="10.6640625" bestFit="1" customWidth="1"/>
    <col min="18" max="18" width="16.1640625" bestFit="1" customWidth="1"/>
    <col min="19" max="19" width="8.33203125" bestFit="1" customWidth="1"/>
    <col min="20" max="20" width="14.5" bestFit="1" customWidth="1"/>
  </cols>
  <sheetData>
    <row r="1" spans="2:11">
      <c r="B1" s="1"/>
      <c r="C1" s="1"/>
      <c r="D1" s="1"/>
      <c r="E1" s="1"/>
      <c r="F1" s="1"/>
      <c r="G1" s="1"/>
      <c r="H1" s="1"/>
      <c r="I1" s="1"/>
      <c r="J1" s="1"/>
      <c r="K1" s="1"/>
    </row>
    <row r="2" spans="2:11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>
      <c r="B3" s="1"/>
      <c r="C3" s="1"/>
      <c r="D3" s="1"/>
      <c r="E3" s="1"/>
      <c r="F3" s="1"/>
      <c r="G3" s="1"/>
      <c r="H3" s="1"/>
      <c r="I3" s="1"/>
      <c r="J3" s="1"/>
      <c r="K3" s="1"/>
    </row>
    <row r="4" spans="2:11">
      <c r="B4" s="1"/>
      <c r="C4" s="1"/>
      <c r="D4" s="1"/>
      <c r="E4" s="1"/>
      <c r="F4" s="1"/>
      <c r="G4" s="1"/>
      <c r="H4" s="1"/>
      <c r="I4" s="1"/>
      <c r="J4" s="1"/>
      <c r="K4" s="1"/>
    </row>
    <row r="6" spans="2:11">
      <c r="B6" t="s">
        <v>42</v>
      </c>
      <c r="C6" t="s">
        <v>3</v>
      </c>
      <c r="D6" t="s">
        <v>43</v>
      </c>
      <c r="E6" t="s">
        <v>45</v>
      </c>
      <c r="F6" t="s">
        <v>44</v>
      </c>
      <c r="G6" t="s">
        <v>46</v>
      </c>
    </row>
    <row r="7" spans="2:11">
      <c r="B7">
        <v>1</v>
      </c>
      <c r="C7" t="s">
        <v>47</v>
      </c>
      <c r="D7">
        <v>3525.6</v>
      </c>
      <c r="E7">
        <v>228379.45</v>
      </c>
      <c r="F7">
        <v>710.83</v>
      </c>
      <c r="G7">
        <v>0.05</v>
      </c>
    </row>
    <row r="8" spans="2:11">
      <c r="B8">
        <v>2</v>
      </c>
      <c r="C8" t="s">
        <v>48</v>
      </c>
      <c r="D8">
        <v>1338.1</v>
      </c>
      <c r="E8">
        <v>47567.78</v>
      </c>
      <c r="F8">
        <v>4525.96</v>
      </c>
      <c r="G8">
        <v>1.9</v>
      </c>
    </row>
    <row r="9" spans="2:11">
      <c r="B9">
        <v>3</v>
      </c>
      <c r="C9" t="s">
        <v>49</v>
      </c>
      <c r="D9">
        <v>1168.9000000000001</v>
      </c>
      <c r="E9">
        <v>28378.34</v>
      </c>
      <c r="F9">
        <v>248.92</v>
      </c>
      <c r="G9">
        <v>0.22</v>
      </c>
    </row>
    <row r="10" spans="2:11">
      <c r="B10">
        <v>4</v>
      </c>
      <c r="C10" t="s">
        <v>50</v>
      </c>
      <c r="D10">
        <v>246.6</v>
      </c>
      <c r="E10">
        <v>23395.42</v>
      </c>
      <c r="F10">
        <v>4617.57</v>
      </c>
      <c r="G10">
        <v>1.28</v>
      </c>
    </row>
    <row r="11" spans="2:11">
      <c r="B11">
        <v>5</v>
      </c>
      <c r="C11" t="s">
        <v>51</v>
      </c>
      <c r="D11">
        <v>849.25</v>
      </c>
      <c r="E11">
        <v>23076.59</v>
      </c>
      <c r="F11">
        <v>805.48</v>
      </c>
      <c r="G11">
        <v>0.56000000000000005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4559-1980-4DE8-B7BA-36E443FC802F}">
  <dimension ref="B1:K32"/>
  <sheetViews>
    <sheetView showGridLines="0" workbookViewId="0">
      <selection activeCell="E15" sqref="E15:I28"/>
    </sheetView>
  </sheetViews>
  <sheetFormatPr baseColWidth="10" defaultColWidth="8.83203125" defaultRowHeight="15"/>
  <cols>
    <col min="1" max="1" width="1.83203125" customWidth="1"/>
  </cols>
  <sheetData>
    <row r="1" spans="2:11">
      <c r="B1" s="1"/>
      <c r="C1" s="1"/>
      <c r="D1" s="1"/>
      <c r="E1" s="1"/>
      <c r="F1" s="1"/>
      <c r="G1" s="1"/>
      <c r="H1" s="1"/>
      <c r="I1" s="1"/>
      <c r="J1" s="1"/>
      <c r="K1" s="1"/>
    </row>
    <row r="2" spans="2:11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>
      <c r="B3" s="1"/>
      <c r="C3" s="1"/>
      <c r="D3" s="1"/>
      <c r="E3" s="1"/>
      <c r="F3" s="1"/>
      <c r="G3" s="1"/>
      <c r="H3" s="1"/>
      <c r="I3" s="1"/>
      <c r="J3" s="1"/>
      <c r="K3" s="1"/>
    </row>
    <row r="4" spans="2:11">
      <c r="B4" s="1"/>
      <c r="C4" s="1"/>
      <c r="D4" s="1"/>
      <c r="E4" s="1"/>
      <c r="F4" s="1"/>
      <c r="G4" s="1"/>
      <c r="H4" s="1"/>
      <c r="I4" s="1"/>
      <c r="J4" s="1"/>
      <c r="K4" s="1"/>
    </row>
    <row r="6" spans="2:11">
      <c r="B6" s="53" t="s">
        <v>93</v>
      </c>
      <c r="C6" s="54"/>
      <c r="D6" s="54"/>
      <c r="E6" s="54"/>
      <c r="F6" s="54"/>
      <c r="G6" s="54"/>
    </row>
    <row r="8" spans="2:11">
      <c r="B8" s="42" t="s">
        <v>91</v>
      </c>
      <c r="C8" s="43" t="s">
        <v>92</v>
      </c>
    </row>
    <row r="9" spans="2:11">
      <c r="B9" s="39">
        <v>2000</v>
      </c>
      <c r="C9" s="52">
        <v>-0.14649999999999999</v>
      </c>
      <c r="E9" t="s">
        <v>94</v>
      </c>
      <c r="G9" s="16">
        <f>AVERAGE(C9:C31)</f>
        <v>0.15411739130434784</v>
      </c>
    </row>
    <row r="10" spans="2:11" ht="17">
      <c r="B10" s="39">
        <v>2001</v>
      </c>
      <c r="C10" s="52">
        <v>-0.1618</v>
      </c>
      <c r="E10" t="s">
        <v>95</v>
      </c>
      <c r="G10" s="55" t="s">
        <v>96</v>
      </c>
    </row>
    <row r="11" spans="2:11">
      <c r="B11" s="39">
        <v>2002</v>
      </c>
      <c r="C11" s="52">
        <v>3.2500000000000001E-2</v>
      </c>
      <c r="E11" s="56" t="s">
        <v>97</v>
      </c>
      <c r="F11" s="56"/>
      <c r="G11" s="57">
        <f>SUM(G9:G10)</f>
        <v>0.15411739130434784</v>
      </c>
    </row>
    <row r="12" spans="2:11">
      <c r="B12" s="39">
        <v>2003</v>
      </c>
      <c r="C12" s="52">
        <v>0.71900000000000008</v>
      </c>
    </row>
    <row r="13" spans="2:11">
      <c r="B13" s="39">
        <v>2004</v>
      </c>
      <c r="C13" s="52">
        <v>0.10679999999999999</v>
      </c>
    </row>
    <row r="14" spans="2:11">
      <c r="B14" s="39">
        <v>2005</v>
      </c>
      <c r="C14" s="52">
        <v>0.36340000000000006</v>
      </c>
    </row>
    <row r="15" spans="2:11">
      <c r="B15" s="39">
        <v>2006</v>
      </c>
      <c r="C15" s="52">
        <v>0.39829999999999999</v>
      </c>
    </row>
    <row r="16" spans="2:11">
      <c r="B16" s="39">
        <v>2007</v>
      </c>
      <c r="C16" s="52">
        <v>0.54770000000000008</v>
      </c>
    </row>
    <row r="17" spans="2:3">
      <c r="B17" s="39">
        <v>2008</v>
      </c>
      <c r="C17" s="52">
        <v>-0.51790000000000003</v>
      </c>
    </row>
    <row r="18" spans="2:3">
      <c r="B18" s="39">
        <v>2009</v>
      </c>
      <c r="C18" s="52">
        <v>0.75760000000000005</v>
      </c>
    </row>
    <row r="19" spans="2:3">
      <c r="B19" s="39">
        <v>2010</v>
      </c>
      <c r="C19" s="52">
        <v>0.17949999999999999</v>
      </c>
    </row>
    <row r="20" spans="2:3">
      <c r="B20" s="39">
        <v>2011</v>
      </c>
      <c r="C20" s="52">
        <v>-0.2462</v>
      </c>
    </row>
    <row r="21" spans="2:3">
      <c r="B21" s="39">
        <v>2012</v>
      </c>
      <c r="C21" s="52">
        <v>0.27699999999999997</v>
      </c>
    </row>
    <row r="22" spans="2:3">
      <c r="B22" s="39">
        <v>2013</v>
      </c>
      <c r="C22" s="52">
        <v>6.7599999999999993E-2</v>
      </c>
    </row>
    <row r="23" spans="2:3">
      <c r="B23" s="39">
        <v>2014</v>
      </c>
      <c r="C23" s="52">
        <v>0.31390000000000001</v>
      </c>
    </row>
    <row r="24" spans="2:3">
      <c r="B24" s="39">
        <v>2015</v>
      </c>
      <c r="C24" s="52">
        <v>-4.0599999999999997E-2</v>
      </c>
    </row>
    <row r="25" spans="2:3">
      <c r="B25" s="39">
        <v>2016</v>
      </c>
      <c r="C25" s="52">
        <v>3.0099999999999998E-2</v>
      </c>
    </row>
    <row r="26" spans="2:3">
      <c r="B26" s="39">
        <v>2017</v>
      </c>
      <c r="C26" s="52">
        <v>0.28649999999999998</v>
      </c>
    </row>
    <row r="27" spans="2:3">
      <c r="B27" s="39">
        <v>2018</v>
      </c>
      <c r="C27" s="52">
        <v>3.15E-2</v>
      </c>
    </row>
    <row r="28" spans="2:3">
      <c r="B28" s="39">
        <v>2019</v>
      </c>
      <c r="C28" s="52">
        <v>0.1202</v>
      </c>
    </row>
    <row r="29" spans="2:3">
      <c r="B29" s="39">
        <v>2020</v>
      </c>
      <c r="C29" s="52">
        <v>0.14169999999999999</v>
      </c>
    </row>
    <row r="30" spans="2:3">
      <c r="B30" s="39">
        <v>2021</v>
      </c>
      <c r="C30" s="52">
        <v>0.2412</v>
      </c>
    </row>
    <row r="31" spans="2:3">
      <c r="B31" s="39">
        <v>2022</v>
      </c>
      <c r="C31" s="52">
        <v>4.3200000000000002E-2</v>
      </c>
    </row>
    <row r="32" spans="2:3">
      <c r="B32" s="39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DE036-95A2-49CD-911E-0470A328F88B}">
  <dimension ref="A1:M67"/>
  <sheetViews>
    <sheetView showGridLines="0" workbookViewId="0">
      <pane ySplit="4" topLeftCell="A5" activePane="bottomLeft" state="frozen"/>
      <selection pane="bottomLeft" activeCell="L70" sqref="L70"/>
    </sheetView>
  </sheetViews>
  <sheetFormatPr baseColWidth="10" defaultColWidth="8.83203125" defaultRowHeight="15"/>
  <cols>
    <col min="1" max="1" width="1.83203125" customWidth="1"/>
    <col min="7" max="7" width="11.5" bestFit="1" customWidth="1"/>
    <col min="8" max="8" width="8.5" bestFit="1" customWidth="1"/>
    <col min="9" max="9" width="12.1640625" bestFit="1" customWidth="1"/>
    <col min="10" max="10" width="14.33203125" bestFit="1" customWidth="1"/>
    <col min="11" max="11" width="10.1640625" bestFit="1" customWidth="1"/>
    <col min="13" max="13" width="21" bestFit="1" customWidth="1"/>
  </cols>
  <sheetData>
    <row r="1" spans="2:11">
      <c r="B1" s="1"/>
      <c r="C1" s="1"/>
      <c r="D1" s="1"/>
      <c r="E1" s="1"/>
      <c r="F1" s="1"/>
      <c r="G1" s="1"/>
      <c r="H1" s="1"/>
      <c r="I1" s="1"/>
      <c r="J1" s="1"/>
      <c r="K1" s="1"/>
    </row>
    <row r="2" spans="2:11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>
      <c r="B3" s="1"/>
      <c r="C3" s="1"/>
      <c r="D3" s="1"/>
      <c r="E3" s="1"/>
      <c r="F3" s="1"/>
      <c r="G3" s="1"/>
      <c r="H3" s="1"/>
      <c r="I3" s="1"/>
      <c r="J3" s="1"/>
      <c r="K3" s="1"/>
    </row>
    <row r="4" spans="2:11">
      <c r="B4" s="1"/>
      <c r="C4" s="1"/>
      <c r="D4" s="1"/>
      <c r="E4" s="1"/>
      <c r="F4" s="1"/>
      <c r="G4" s="1"/>
      <c r="H4" s="1"/>
      <c r="I4" s="1"/>
      <c r="J4" s="1"/>
      <c r="K4" s="1"/>
    </row>
    <row r="6" spans="2:11">
      <c r="B6" s="53" t="s">
        <v>222</v>
      </c>
      <c r="C6" s="54"/>
      <c r="D6" s="54"/>
      <c r="E6" s="54"/>
      <c r="F6" s="54"/>
      <c r="G6" s="90">
        <f>'Raw FS'!J$2</f>
        <v>43160</v>
      </c>
      <c r="H6" s="90">
        <f>'Raw FS'!K$2</f>
        <v>43525</v>
      </c>
      <c r="I6" s="90">
        <f>'Raw FS'!L$2</f>
        <v>43891</v>
      </c>
      <c r="J6" s="90">
        <f>'Raw FS'!M$2</f>
        <v>44256</v>
      </c>
      <c r="K6" s="90">
        <f>'Raw FS'!N$2</f>
        <v>44621</v>
      </c>
    </row>
    <row r="8" spans="2:11">
      <c r="B8" s="2" t="s">
        <v>223</v>
      </c>
    </row>
    <row r="9" spans="2:11">
      <c r="B9" s="94" t="str">
        <f>'Raw FS'!B35</f>
        <v>Inventories</v>
      </c>
      <c r="C9" s="94"/>
      <c r="D9" s="94"/>
      <c r="E9" s="94"/>
      <c r="F9" s="94"/>
      <c r="G9" s="95">
        <f>'Raw FS'!J35</f>
        <v>2658</v>
      </c>
      <c r="H9" s="95">
        <f>'Raw FS'!K35</f>
        <v>3150</v>
      </c>
      <c r="I9" s="95">
        <f>'Raw FS'!L35</f>
        <v>3390</v>
      </c>
      <c r="J9" s="95">
        <f>'Raw FS'!M35</f>
        <v>3799</v>
      </c>
      <c r="K9" s="95">
        <f>'Raw FS'!N35</f>
        <v>6153</v>
      </c>
    </row>
    <row r="10" spans="2:11">
      <c r="B10" s="94" t="str">
        <f>'Raw FS'!B36</f>
        <v>Trade receivables</v>
      </c>
      <c r="C10" s="94"/>
      <c r="D10" s="94"/>
      <c r="E10" s="94"/>
      <c r="F10" s="94"/>
      <c r="G10" s="95">
        <f>'Raw FS'!J36</f>
        <v>1731</v>
      </c>
      <c r="H10" s="95">
        <f>'Raw FS'!K36</f>
        <v>1907</v>
      </c>
      <c r="I10" s="95">
        <f>'Raw FS'!L36</f>
        <v>1795</v>
      </c>
      <c r="J10" s="95">
        <f>'Raw FS'!M36</f>
        <v>2602</v>
      </c>
      <c r="K10" s="95">
        <f>'Raw FS'!N36</f>
        <v>3871</v>
      </c>
    </row>
    <row r="11" spans="2:11">
      <c r="B11" s="94" t="str">
        <f>'Raw FS'!B38</f>
        <v>Loans n Advances</v>
      </c>
      <c r="C11" s="94"/>
      <c r="D11" s="94"/>
      <c r="E11" s="94"/>
      <c r="F11" s="94"/>
      <c r="G11" s="95">
        <f>'Raw FS'!J38</f>
        <v>1141</v>
      </c>
      <c r="H11" s="95">
        <f>'Raw FS'!K38</f>
        <v>1058</v>
      </c>
      <c r="I11" s="95">
        <f>'Raw FS'!L38</f>
        <v>1177</v>
      </c>
      <c r="J11" s="95">
        <f>'Raw FS'!M38</f>
        <v>1846</v>
      </c>
      <c r="K11" s="95">
        <f>'Raw FS'!N38</f>
        <v>2216</v>
      </c>
    </row>
    <row r="12" spans="2:11">
      <c r="B12" t="str">
        <f>'Raw FS'!B39</f>
        <v>Other asset items</v>
      </c>
      <c r="G12" s="96">
        <f>'Raw FS'!J39</f>
        <v>551</v>
      </c>
      <c r="H12" s="96">
        <f>'Raw FS'!K39</f>
        <v>414</v>
      </c>
      <c r="I12" s="96">
        <f>'Raw FS'!L39</f>
        <v>561</v>
      </c>
      <c r="J12" s="96">
        <f>'Raw FS'!M39</f>
        <v>720</v>
      </c>
      <c r="K12" s="96">
        <f>'Raw FS'!N39</f>
        <v>661</v>
      </c>
    </row>
    <row r="13" spans="2:11">
      <c r="B13" s="98" t="s">
        <v>146</v>
      </c>
      <c r="C13" s="3"/>
      <c r="D13" s="3"/>
      <c r="E13" s="3"/>
      <c r="F13" s="3"/>
      <c r="G13" s="114">
        <f>SUM(G9:G12)</f>
        <v>6081</v>
      </c>
      <c r="H13" s="114">
        <f t="shared" ref="H13:K13" si="0">SUM(H9:H12)</f>
        <v>6529</v>
      </c>
      <c r="I13" s="114">
        <f t="shared" si="0"/>
        <v>6923</v>
      </c>
      <c r="J13" s="114">
        <f t="shared" si="0"/>
        <v>8967</v>
      </c>
      <c r="K13" s="114">
        <f t="shared" si="0"/>
        <v>12901</v>
      </c>
    </row>
    <row r="14" spans="2:11">
      <c r="G14" s="96"/>
      <c r="H14" s="96"/>
      <c r="I14" s="96"/>
      <c r="J14" s="96"/>
      <c r="K14" s="96"/>
    </row>
    <row r="15" spans="2:11">
      <c r="B15" s="2" t="s">
        <v>224</v>
      </c>
      <c r="G15" s="96"/>
      <c r="H15" s="96"/>
      <c r="I15" s="96"/>
      <c r="J15" s="96"/>
      <c r="K15" s="96"/>
    </row>
    <row r="16" spans="2:11">
      <c r="B16" s="94" t="str">
        <f>'Raw FS'!B13</f>
        <v>Trade Payables</v>
      </c>
      <c r="C16" s="94"/>
      <c r="D16" s="94"/>
      <c r="E16" s="94"/>
      <c r="F16" s="94"/>
      <c r="G16" s="95">
        <f>'Raw FS'!J13</f>
        <v>2160</v>
      </c>
      <c r="H16" s="95">
        <f>'Raw FS'!K13</f>
        <v>2394</v>
      </c>
      <c r="I16" s="95">
        <f>'Raw FS'!L13</f>
        <v>2137</v>
      </c>
      <c r="J16" s="95">
        <f>'Raw FS'!M13</f>
        <v>3379</v>
      </c>
      <c r="K16" s="95">
        <f>'Raw FS'!N13</f>
        <v>4164</v>
      </c>
    </row>
    <row r="17" spans="1:11">
      <c r="B17" s="94" t="str">
        <f>'Raw FS'!B14</f>
        <v>Advance from Customers</v>
      </c>
      <c r="C17" s="94"/>
      <c r="D17" s="94"/>
      <c r="E17" s="94"/>
      <c r="F17" s="94"/>
      <c r="G17" s="95">
        <f>'Raw FS'!J14</f>
        <v>16</v>
      </c>
      <c r="H17" s="95">
        <f>'Raw FS'!K14</f>
        <v>13</v>
      </c>
      <c r="I17" s="95">
        <f>'Raw FS'!L14</f>
        <v>29</v>
      </c>
      <c r="J17" s="95">
        <f>'Raw FS'!M14</f>
        <v>41</v>
      </c>
      <c r="K17" s="95">
        <f>'Raw FS'!N14</f>
        <v>76</v>
      </c>
    </row>
    <row r="18" spans="1:11">
      <c r="B18" s="94" t="str">
        <f>'Raw FS'!B15</f>
        <v>Other liability items</v>
      </c>
      <c r="C18" s="94"/>
      <c r="D18" s="94"/>
      <c r="E18" s="94"/>
      <c r="F18" s="94"/>
      <c r="G18" s="95">
        <f>'Raw FS'!J15</f>
        <v>2316</v>
      </c>
      <c r="H18" s="95">
        <f>'Raw FS'!K15</f>
        <v>2690</v>
      </c>
      <c r="I18" s="95">
        <f>'Raw FS'!L15</f>
        <v>2320</v>
      </c>
      <c r="J18" s="95">
        <f>'Raw FS'!M15</f>
        <v>2613</v>
      </c>
      <c r="K18" s="95">
        <f>'Raw FS'!N15</f>
        <v>2932</v>
      </c>
    </row>
    <row r="19" spans="1:11">
      <c r="B19" s="98" t="s">
        <v>225</v>
      </c>
      <c r="C19" s="3"/>
      <c r="D19" s="3"/>
      <c r="E19" s="3"/>
      <c r="F19" s="3"/>
      <c r="G19" s="114">
        <f>SUM(G16:G18)</f>
        <v>4492</v>
      </c>
      <c r="H19" s="114">
        <f>SUM(H16:H18)</f>
        <v>5097</v>
      </c>
      <c r="I19" s="114">
        <f>SUM(I16:I18)</f>
        <v>4486</v>
      </c>
      <c r="J19" s="114">
        <f>SUM(J16:J18)</f>
        <v>6033</v>
      </c>
      <c r="K19" s="114">
        <f>SUM(K16:K18)</f>
        <v>7172</v>
      </c>
    </row>
    <row r="20" spans="1:11">
      <c r="G20" s="96"/>
      <c r="H20" s="96"/>
      <c r="I20" s="96"/>
      <c r="J20" s="96"/>
      <c r="K20" s="96"/>
    </row>
    <row r="21" spans="1:11" ht="16" thickBot="1">
      <c r="A21" t="s">
        <v>103</v>
      </c>
      <c r="B21" s="102" t="s">
        <v>226</v>
      </c>
      <c r="C21" s="102"/>
      <c r="D21" s="102"/>
      <c r="E21" s="102"/>
      <c r="F21" s="102"/>
      <c r="G21" s="115">
        <f>G13-G19</f>
        <v>1589</v>
      </c>
      <c r="H21" s="115">
        <f t="shared" ref="H21:K21" si="1">H13-H19</f>
        <v>1432</v>
      </c>
      <c r="I21" s="115">
        <f t="shared" si="1"/>
        <v>2437</v>
      </c>
      <c r="J21" s="115">
        <f t="shared" si="1"/>
        <v>2934</v>
      </c>
      <c r="K21" s="115">
        <f t="shared" si="1"/>
        <v>5729</v>
      </c>
    </row>
    <row r="22" spans="1:11">
      <c r="G22" s="96"/>
      <c r="H22" s="96"/>
      <c r="I22" s="96"/>
      <c r="J22" s="96"/>
      <c r="K22" s="96"/>
    </row>
    <row r="23" spans="1:11">
      <c r="B23" s="2" t="s">
        <v>227</v>
      </c>
      <c r="G23" s="96"/>
      <c r="H23" s="96"/>
      <c r="I23" s="96"/>
      <c r="J23" s="96"/>
      <c r="K23" s="96"/>
    </row>
    <row r="24" spans="1:11">
      <c r="B24" s="94" t="str">
        <f>'Raw FS'!B19</f>
        <v>Land</v>
      </c>
      <c r="C24" s="94"/>
      <c r="D24" s="94"/>
      <c r="E24" s="94"/>
      <c r="F24" s="94"/>
      <c r="G24" s="95">
        <f>'Raw FS'!J19</f>
        <v>586</v>
      </c>
      <c r="H24" s="95">
        <f>'Raw FS'!K19</f>
        <v>605</v>
      </c>
      <c r="I24" s="95">
        <f>'Raw FS'!L19</f>
        <v>640</v>
      </c>
      <c r="J24" s="95">
        <f>'Raw FS'!M19</f>
        <v>644</v>
      </c>
      <c r="K24" s="95">
        <f>'Raw FS'!N19</f>
        <v>644</v>
      </c>
    </row>
    <row r="25" spans="1:11">
      <c r="B25" s="94" t="str">
        <f>'Raw FS'!B20</f>
        <v>Building</v>
      </c>
      <c r="C25" s="94"/>
      <c r="D25" s="94"/>
      <c r="E25" s="94"/>
      <c r="F25" s="94"/>
      <c r="G25" s="95">
        <f>'Raw FS'!J20</f>
        <v>957</v>
      </c>
      <c r="H25" s="95">
        <f>'Raw FS'!K20</f>
        <v>2402</v>
      </c>
      <c r="I25" s="95">
        <f>'Raw FS'!L20</f>
        <v>2257</v>
      </c>
      <c r="J25" s="95">
        <f>'Raw FS'!M20</f>
        <v>2249</v>
      </c>
      <c r="K25" s="95">
        <f>'Raw FS'!N20</f>
        <v>2325</v>
      </c>
    </row>
    <row r="26" spans="1:11">
      <c r="B26" s="94" t="str">
        <f>'Raw FS'!B21</f>
        <v>Plant Machinery</v>
      </c>
      <c r="C26" s="94"/>
      <c r="D26" s="94"/>
      <c r="E26" s="94"/>
      <c r="F26" s="94"/>
      <c r="G26" s="95">
        <f>'Raw FS'!J21</f>
        <v>2157</v>
      </c>
      <c r="H26" s="95">
        <f>'Raw FS'!K21</f>
        <v>4006</v>
      </c>
      <c r="I26" s="95">
        <f>'Raw FS'!L21</f>
        <v>4208</v>
      </c>
      <c r="J26" s="95">
        <f>'Raw FS'!M21</f>
        <v>4340</v>
      </c>
      <c r="K26" s="95">
        <f>'Raw FS'!N21</f>
        <v>4531</v>
      </c>
    </row>
    <row r="27" spans="1:11">
      <c r="B27" s="94" t="str">
        <f>'Raw FS'!B22</f>
        <v>Equipments</v>
      </c>
      <c r="C27" s="94"/>
      <c r="D27" s="94"/>
      <c r="E27" s="94"/>
      <c r="F27" s="94"/>
      <c r="G27" s="95">
        <f>'Raw FS'!J22</f>
        <v>200</v>
      </c>
      <c r="H27" s="95">
        <f>'Raw FS'!K22</f>
        <v>221</v>
      </c>
      <c r="I27" s="95">
        <f>'Raw FS'!L22</f>
        <v>241</v>
      </c>
      <c r="J27" s="95">
        <f>'Raw FS'!M22</f>
        <v>243</v>
      </c>
      <c r="K27" s="95">
        <f>'Raw FS'!N22</f>
        <v>253</v>
      </c>
    </row>
    <row r="28" spans="1:11">
      <c r="B28" s="94" t="str">
        <f>'Raw FS'!B23</f>
        <v>Furniture n fittings</v>
      </c>
      <c r="C28" s="94"/>
      <c r="D28" s="94"/>
      <c r="E28" s="94"/>
      <c r="F28" s="94"/>
      <c r="G28" s="95">
        <f>'Raw FS'!J23</f>
        <v>72</v>
      </c>
      <c r="H28" s="95">
        <f>'Raw FS'!K23</f>
        <v>88</v>
      </c>
      <c r="I28" s="95">
        <f>'Raw FS'!L23</f>
        <v>94</v>
      </c>
      <c r="J28" s="95">
        <f>'Raw FS'!M23</f>
        <v>99</v>
      </c>
      <c r="K28" s="95">
        <f>'Raw FS'!N23</f>
        <v>113</v>
      </c>
    </row>
    <row r="29" spans="1:11">
      <c r="B29" s="94" t="str">
        <f>'Raw FS'!B24</f>
        <v>Vehicles</v>
      </c>
      <c r="C29" s="94"/>
      <c r="D29" s="94"/>
      <c r="E29" s="94"/>
      <c r="F29" s="94"/>
      <c r="G29" s="95">
        <f>'Raw FS'!J24</f>
        <v>27</v>
      </c>
      <c r="H29" s="95">
        <f>'Raw FS'!K24</f>
        <v>47</v>
      </c>
      <c r="I29" s="95">
        <f>'Raw FS'!L24</f>
        <v>43</v>
      </c>
      <c r="J29" s="95">
        <f>'Raw FS'!M24</f>
        <v>38</v>
      </c>
      <c r="K29" s="95">
        <f>'Raw FS'!N24</f>
        <v>32</v>
      </c>
    </row>
    <row r="30" spans="1:11">
      <c r="B30" s="94" t="str">
        <f>'Raw FS'!B25</f>
        <v>Intangible Assets</v>
      </c>
      <c r="C30" s="94"/>
      <c r="D30" s="94"/>
      <c r="E30" s="94"/>
      <c r="F30" s="94"/>
      <c r="G30" s="95">
        <f>'Raw FS'!J25</f>
        <v>468</v>
      </c>
      <c r="H30" s="95">
        <f>'Raw FS'!K25</f>
        <v>512</v>
      </c>
      <c r="I30" s="95">
        <f>'Raw FS'!L25</f>
        <v>505</v>
      </c>
      <c r="J30" s="95">
        <f>'Raw FS'!M25</f>
        <v>476</v>
      </c>
      <c r="K30" s="95">
        <f>'Raw FS'!N25</f>
        <v>411</v>
      </c>
    </row>
    <row r="31" spans="1:11">
      <c r="B31" s="94" t="str">
        <f>'Raw FS'!B26</f>
        <v>Other fixed assets</v>
      </c>
      <c r="C31" s="94"/>
      <c r="D31" s="94"/>
      <c r="E31" s="94"/>
      <c r="F31" s="94"/>
      <c r="G31" s="95">
        <f>'Raw FS'!J26</f>
        <v>238</v>
      </c>
      <c r="H31" s="95">
        <f>'Raw FS'!K26</f>
        <v>261</v>
      </c>
      <c r="I31" s="95">
        <f>'Raw FS'!L26</f>
        <v>293</v>
      </c>
      <c r="J31" s="95">
        <f>'Raw FS'!M26</f>
        <v>302</v>
      </c>
      <c r="K31" s="95">
        <f>'Raw FS'!N26</f>
        <v>294</v>
      </c>
    </row>
    <row r="32" spans="1:11" ht="5.25" customHeight="1">
      <c r="B32" s="94"/>
      <c r="C32" s="94"/>
      <c r="D32" s="94"/>
      <c r="E32" s="94"/>
      <c r="F32" s="94"/>
      <c r="G32" s="95"/>
      <c r="H32" s="95"/>
      <c r="I32" s="95"/>
      <c r="J32" s="95"/>
      <c r="K32" s="95"/>
    </row>
    <row r="33" spans="1:11">
      <c r="B33" s="98" t="s">
        <v>211</v>
      </c>
      <c r="C33" s="3"/>
      <c r="D33" s="3"/>
      <c r="E33" s="3"/>
      <c r="F33" s="3"/>
      <c r="G33" s="114">
        <f>SUM(G24:G32)</f>
        <v>4705</v>
      </c>
      <c r="H33" s="114">
        <f t="shared" ref="H33:K33" si="2">SUM(H24:H32)</f>
        <v>8142</v>
      </c>
      <c r="I33" s="114">
        <f t="shared" si="2"/>
        <v>8281</v>
      </c>
      <c r="J33" s="114">
        <f t="shared" si="2"/>
        <v>8391</v>
      </c>
      <c r="K33" s="114">
        <f t="shared" si="2"/>
        <v>8603</v>
      </c>
    </row>
    <row r="34" spans="1:11">
      <c r="B34" t="s">
        <v>212</v>
      </c>
      <c r="G34" s="96">
        <f>-'Raw FS'!J28</f>
        <v>-973</v>
      </c>
      <c r="H34" s="96">
        <f>-'Raw FS'!K28</f>
        <v>-1592</v>
      </c>
      <c r="I34" s="96">
        <f>-'Raw FS'!L28</f>
        <v>-2010</v>
      </c>
      <c r="J34" s="96">
        <f>-'Raw FS'!M28</f>
        <v>-2533</v>
      </c>
      <c r="K34" s="96">
        <f>-'Raw FS'!N28</f>
        <v>-3085</v>
      </c>
    </row>
    <row r="35" spans="1:11" ht="16" thickBot="1">
      <c r="A35" t="s">
        <v>103</v>
      </c>
      <c r="B35" s="102" t="s">
        <v>228</v>
      </c>
      <c r="C35" s="102"/>
      <c r="D35" s="102"/>
      <c r="E35" s="102"/>
      <c r="F35" s="102"/>
      <c r="G35" s="115">
        <f>SUM(G33:G34)</f>
        <v>3732</v>
      </c>
      <c r="H35" s="115">
        <f t="shared" ref="H35:K35" si="3">SUM(H33:H34)</f>
        <v>6550</v>
      </c>
      <c r="I35" s="115">
        <f t="shared" si="3"/>
        <v>6271</v>
      </c>
      <c r="J35" s="115">
        <f t="shared" si="3"/>
        <v>5858</v>
      </c>
      <c r="K35" s="115">
        <f t="shared" si="3"/>
        <v>5518</v>
      </c>
    </row>
    <row r="36" spans="1:11">
      <c r="G36" s="96"/>
      <c r="H36" s="96"/>
      <c r="I36" s="96"/>
      <c r="J36" s="96"/>
      <c r="K36" s="96"/>
    </row>
    <row r="37" spans="1:11">
      <c r="A37" t="s">
        <v>103</v>
      </c>
      <c r="B37" s="2" t="s">
        <v>229</v>
      </c>
      <c r="C37" s="2"/>
      <c r="D37" s="2"/>
      <c r="E37" s="2"/>
      <c r="F37" s="2"/>
      <c r="G37" s="97">
        <f>G35+G21</f>
        <v>5321</v>
      </c>
      <c r="H37" s="97">
        <f t="shared" ref="H37:K37" si="4">H35+H21</f>
        <v>7982</v>
      </c>
      <c r="I37" s="97">
        <f t="shared" si="4"/>
        <v>8708</v>
      </c>
      <c r="J37" s="97">
        <f t="shared" si="4"/>
        <v>8792</v>
      </c>
      <c r="K37" s="97">
        <f t="shared" si="4"/>
        <v>11247</v>
      </c>
    </row>
    <row r="38" spans="1:11">
      <c r="B38" s="2" t="s">
        <v>230</v>
      </c>
      <c r="C38" s="2"/>
      <c r="D38" s="2"/>
      <c r="E38" s="2"/>
      <c r="F38" s="2"/>
      <c r="G38" s="97">
        <f>(HistoricalFS!H27+HistoricalFS!H21)</f>
        <v>2843.5400000000009</v>
      </c>
      <c r="H38" s="97">
        <f>(HistoricalFS!I27+HistoricalFS!I21)</f>
        <v>3142.8000000000011</v>
      </c>
      <c r="I38" s="97">
        <f>(HistoricalFS!J27+HistoricalFS!J21)</f>
        <v>3376.3199999999979</v>
      </c>
      <c r="J38" s="97">
        <f>(HistoricalFS!K27+HistoricalFS!K21)</f>
        <v>4064.3300000000031</v>
      </c>
      <c r="K38" s="97">
        <f>(HistoricalFS!L27+HistoricalFS!L21)</f>
        <v>3987.2499999999986</v>
      </c>
    </row>
    <row r="40" spans="1:11" ht="16" thickBot="1">
      <c r="A40" t="s">
        <v>103</v>
      </c>
      <c r="B40" s="102" t="s">
        <v>221</v>
      </c>
      <c r="C40" s="103"/>
      <c r="D40" s="103"/>
      <c r="E40" s="103"/>
      <c r="F40" s="103"/>
      <c r="G40" s="104">
        <f>G38/G37</f>
        <v>0.53439954895696318</v>
      </c>
      <c r="H40" s="104">
        <f t="shared" ref="H40:K40" si="5">H38/H37</f>
        <v>0.3937359057880232</v>
      </c>
      <c r="I40" s="104">
        <f t="shared" si="5"/>
        <v>0.38772622875516743</v>
      </c>
      <c r="J40" s="104">
        <f t="shared" si="5"/>
        <v>0.46227593266606043</v>
      </c>
      <c r="K40" s="104">
        <f t="shared" si="5"/>
        <v>0.35451676002489541</v>
      </c>
    </row>
    <row r="43" spans="1:11">
      <c r="A43" t="s">
        <v>103</v>
      </c>
      <c r="B43" s="53" t="s">
        <v>231</v>
      </c>
      <c r="C43" s="54"/>
      <c r="D43" s="54"/>
      <c r="E43" s="54"/>
      <c r="F43" s="54"/>
      <c r="G43" s="90">
        <f>'Raw FS'!J$2</f>
        <v>43160</v>
      </c>
      <c r="H43" s="90">
        <f>'Raw FS'!K$2</f>
        <v>43525</v>
      </c>
      <c r="I43" s="90">
        <f>'Raw FS'!L$2</f>
        <v>43891</v>
      </c>
      <c r="J43" s="90">
        <f>'Raw FS'!M$2</f>
        <v>44256</v>
      </c>
      <c r="K43" s="90">
        <f>'Raw FS'!N$2</f>
        <v>44621</v>
      </c>
    </row>
    <row r="45" spans="1:11">
      <c r="B45" s="94" t="s">
        <v>232</v>
      </c>
      <c r="C45" s="94"/>
      <c r="D45" s="94"/>
      <c r="E45" s="94"/>
      <c r="F45" s="94"/>
      <c r="G45" s="95">
        <f>-SUM('Raw FS'!J54:J55)</f>
        <v>1409</v>
      </c>
      <c r="H45" s="95">
        <f>-SUM('Raw FS'!K54:K55)</f>
        <v>1134</v>
      </c>
      <c r="I45" s="95">
        <f>-SUM('Raw FS'!L54:L55)</f>
        <v>367</v>
      </c>
      <c r="J45" s="95">
        <f>-SUM('Raw FS'!M54:M55)</f>
        <v>254</v>
      </c>
      <c r="K45" s="95">
        <f>-SUM('Raw FS'!N54:N55)</f>
        <v>498</v>
      </c>
    </row>
    <row r="46" spans="1:11">
      <c r="B46" s="94" t="s">
        <v>257</v>
      </c>
      <c r="C46" s="94"/>
      <c r="D46" s="94"/>
      <c r="E46" s="94"/>
      <c r="F46" s="94"/>
      <c r="G46" s="95"/>
      <c r="H46" s="95">
        <f>H21-G21</f>
        <v>-157</v>
      </c>
      <c r="I46" s="95">
        <f t="shared" ref="I46:K46" si="6">I21-H21</f>
        <v>1005</v>
      </c>
      <c r="J46" s="95">
        <f t="shared" si="6"/>
        <v>497</v>
      </c>
      <c r="K46" s="95">
        <f t="shared" si="6"/>
        <v>2795</v>
      </c>
    </row>
    <row r="47" spans="1:11">
      <c r="B47" s="94"/>
      <c r="C47" s="94"/>
      <c r="D47" s="94"/>
      <c r="E47" s="94"/>
      <c r="F47" s="94"/>
      <c r="G47" s="95"/>
      <c r="H47" s="95"/>
      <c r="I47" s="95"/>
      <c r="J47" s="95"/>
      <c r="K47" s="95"/>
    </row>
    <row r="48" spans="1:11">
      <c r="B48" s="94" t="s">
        <v>230</v>
      </c>
      <c r="C48" s="94"/>
      <c r="D48" s="94"/>
      <c r="E48" s="94"/>
      <c r="F48" s="94"/>
      <c r="G48" s="95">
        <f>G38</f>
        <v>2843.5400000000009</v>
      </c>
      <c r="H48" s="95">
        <f t="shared" ref="H48:K48" si="7">H38</f>
        <v>3142.8000000000011</v>
      </c>
      <c r="I48" s="95">
        <f t="shared" si="7"/>
        <v>3376.3199999999979</v>
      </c>
      <c r="J48" s="95">
        <f t="shared" si="7"/>
        <v>4064.3300000000031</v>
      </c>
      <c r="K48" s="95">
        <f t="shared" si="7"/>
        <v>3987.2499999999986</v>
      </c>
    </row>
    <row r="49" spans="1:13">
      <c r="B49" s="94" t="s">
        <v>258</v>
      </c>
      <c r="C49" s="94"/>
      <c r="D49" s="94"/>
      <c r="E49" s="94"/>
      <c r="F49" s="94"/>
      <c r="G49" s="116">
        <v>0.25</v>
      </c>
      <c r="H49" s="116">
        <v>0.25</v>
      </c>
      <c r="I49" s="116">
        <v>0.25</v>
      </c>
      <c r="J49" s="116">
        <v>0.25</v>
      </c>
      <c r="K49" s="116">
        <v>0.25</v>
      </c>
    </row>
    <row r="50" spans="1:13">
      <c r="B50" s="94" t="s">
        <v>260</v>
      </c>
      <c r="C50" s="94"/>
      <c r="D50" s="94"/>
      <c r="E50" s="94"/>
      <c r="F50" s="94"/>
      <c r="G50" s="117">
        <f>G48*(1-G49)</f>
        <v>2132.6550000000007</v>
      </c>
      <c r="H50" s="117">
        <f t="shared" ref="H50:K50" si="8">H48*(1-H49)</f>
        <v>2357.1000000000008</v>
      </c>
      <c r="I50" s="117">
        <f t="shared" si="8"/>
        <v>2532.2399999999984</v>
      </c>
      <c r="J50" s="117">
        <f t="shared" si="8"/>
        <v>3048.2475000000022</v>
      </c>
      <c r="K50" s="117">
        <f t="shared" si="8"/>
        <v>2990.4374999999991</v>
      </c>
    </row>
    <row r="51" spans="1:13">
      <c r="B51" s="94"/>
      <c r="C51" s="94"/>
      <c r="D51" s="94"/>
      <c r="E51" s="94"/>
      <c r="F51" s="94"/>
      <c r="G51" s="95"/>
      <c r="H51" s="95"/>
      <c r="I51" s="95"/>
      <c r="J51" s="95"/>
      <c r="K51" s="95"/>
    </row>
    <row r="52" spans="1:13">
      <c r="B52" s="94" t="s">
        <v>259</v>
      </c>
      <c r="C52" s="94"/>
      <c r="D52" s="94"/>
      <c r="E52" s="94"/>
      <c r="F52" s="94"/>
      <c r="G52" s="95"/>
      <c r="H52" s="95">
        <f>SUM(H45:H46)</f>
        <v>977</v>
      </c>
      <c r="I52" s="95">
        <f t="shared" ref="I52:K52" si="9">SUM(I45:I46)</f>
        <v>1372</v>
      </c>
      <c r="J52" s="95">
        <f t="shared" si="9"/>
        <v>751</v>
      </c>
      <c r="K52" s="95">
        <f t="shared" si="9"/>
        <v>3293</v>
      </c>
    </row>
    <row r="53" spans="1:13" ht="3.75" customHeight="1">
      <c r="H53" s="89"/>
      <c r="I53" s="89"/>
      <c r="J53" s="89"/>
      <c r="K53" s="89"/>
    </row>
    <row r="54" spans="1:13" ht="16" thickBot="1">
      <c r="B54" s="102" t="s">
        <v>261</v>
      </c>
      <c r="C54" s="102"/>
      <c r="D54" s="102"/>
      <c r="E54" s="102"/>
      <c r="F54" s="102"/>
      <c r="G54" s="102"/>
      <c r="H54" s="104">
        <f>H52/H50</f>
        <v>0.41449238471002486</v>
      </c>
      <c r="I54" s="104">
        <f t="shared" ref="I54:K54" si="10">I52/I50</f>
        <v>0.54181278235870256</v>
      </c>
      <c r="J54" s="104">
        <f t="shared" si="10"/>
        <v>0.24637107059056046</v>
      </c>
      <c r="K54" s="104">
        <f t="shared" si="10"/>
        <v>1.1011766672936656</v>
      </c>
    </row>
    <row r="55" spans="1:13">
      <c r="H55" s="14"/>
      <c r="I55" s="14"/>
      <c r="J55" s="14"/>
      <c r="K55" s="14"/>
    </row>
    <row r="56" spans="1:13">
      <c r="J56" s="62" t="s">
        <v>262</v>
      </c>
      <c r="K56" s="63">
        <f>AVERAGE(H54:K54)</f>
        <v>0.57596322623823837</v>
      </c>
    </row>
    <row r="57" spans="1:13">
      <c r="J57" s="62" t="s">
        <v>263</v>
      </c>
      <c r="K57" s="63">
        <f>MEDIAN(H54:K54)</f>
        <v>0.47815258353436374</v>
      </c>
    </row>
    <row r="59" spans="1:13">
      <c r="A59" t="s">
        <v>103</v>
      </c>
      <c r="B59" s="53" t="s">
        <v>264</v>
      </c>
      <c r="C59" s="54"/>
      <c r="D59" s="54"/>
      <c r="E59" s="54"/>
      <c r="F59" s="54"/>
      <c r="G59" s="90">
        <f>'Raw FS'!J$2</f>
        <v>43160</v>
      </c>
      <c r="H59" s="90">
        <f>'Raw FS'!K$2</f>
        <v>43525</v>
      </c>
      <c r="I59" s="90">
        <f>'Raw FS'!L$2</f>
        <v>43891</v>
      </c>
      <c r="J59" s="90">
        <f>'Raw FS'!M$2</f>
        <v>44256</v>
      </c>
      <c r="K59" s="90">
        <f>'Raw FS'!N$2</f>
        <v>44621</v>
      </c>
    </row>
    <row r="61" spans="1:13">
      <c r="B61" s="94" t="s">
        <v>261</v>
      </c>
      <c r="C61" s="94"/>
      <c r="D61" s="94"/>
      <c r="E61" s="94"/>
      <c r="F61" s="94"/>
      <c r="G61" s="94"/>
      <c r="H61" s="118">
        <f>H54</f>
        <v>0.41449238471002486</v>
      </c>
      <c r="I61" s="118">
        <f t="shared" ref="I61:K61" si="11">I54</f>
        <v>0.54181278235870256</v>
      </c>
      <c r="J61" s="118">
        <f t="shared" si="11"/>
        <v>0.24637107059056046</v>
      </c>
      <c r="K61" s="118">
        <f t="shared" si="11"/>
        <v>1.1011766672936656</v>
      </c>
    </row>
    <row r="62" spans="1:13">
      <c r="B62" s="94" t="s">
        <v>221</v>
      </c>
      <c r="C62" s="94"/>
      <c r="D62" s="94"/>
      <c r="E62" s="94"/>
      <c r="F62" s="94"/>
      <c r="G62" s="94"/>
      <c r="H62" s="118">
        <f>H40</f>
        <v>0.3937359057880232</v>
      </c>
      <c r="I62" s="118">
        <f t="shared" ref="I62:K62" si="12">I40</f>
        <v>0.38772622875516743</v>
      </c>
      <c r="J62" s="118">
        <f t="shared" si="12"/>
        <v>0.46227593266606043</v>
      </c>
      <c r="K62" s="118">
        <f t="shared" si="12"/>
        <v>0.35451676002489541</v>
      </c>
    </row>
    <row r="63" spans="1:13" ht="4.5" customHeight="1"/>
    <row r="64" spans="1:13" ht="16" thickBot="1">
      <c r="B64" s="102" t="s">
        <v>265</v>
      </c>
      <c r="C64" s="102"/>
      <c r="D64" s="102"/>
      <c r="E64" s="102"/>
      <c r="F64" s="102"/>
      <c r="G64" s="102"/>
      <c r="H64" s="119">
        <f>H61*H62</f>
        <v>0.16320053453603942</v>
      </c>
      <c r="I64" s="119">
        <f t="shared" ref="I64:K64" si="13">I61*I62</f>
        <v>0.21007502679528406</v>
      </c>
      <c r="J64" s="119">
        <f>J61*J62</f>
        <v>0.11389141643918715</v>
      </c>
      <c r="K64" s="119">
        <f t="shared" si="13"/>
        <v>0.39038558430396253</v>
      </c>
      <c r="M64" s="113"/>
    </row>
    <row r="66" spans="10:11">
      <c r="J66" s="62" t="s">
        <v>262</v>
      </c>
      <c r="K66" s="63">
        <f>AVERAGE(H64:K64)</f>
        <v>0.21938814051861827</v>
      </c>
    </row>
    <row r="67" spans="10:11">
      <c r="J67" s="62" t="s">
        <v>263</v>
      </c>
      <c r="K67" s="63">
        <f>MEDIAN(H64:K64)</f>
        <v>0.18663778066566172</v>
      </c>
    </row>
  </sheetData>
  <pageMargins left="0.7" right="0.7" top="0.75" bottom="0.75" header="0.3" footer="0.3"/>
  <ignoredErrors>
    <ignoredError sqref="G45:K45" formulaRange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A8FA-361B-479D-97F8-15023F88244B}">
  <dimension ref="B1:K45"/>
  <sheetViews>
    <sheetView showGridLines="0" tabSelected="1" workbookViewId="0">
      <pane ySplit="4" topLeftCell="A5" activePane="bottomLeft" state="frozen"/>
      <selection pane="bottomLeft" activeCell="N14" sqref="N14"/>
    </sheetView>
  </sheetViews>
  <sheetFormatPr baseColWidth="10" defaultColWidth="8.83203125" defaultRowHeight="15"/>
  <cols>
    <col min="1" max="1" width="1.83203125" customWidth="1"/>
    <col min="4" max="4" width="18.5" customWidth="1"/>
    <col min="5" max="5" width="10.5" bestFit="1" customWidth="1"/>
    <col min="11" max="11" width="9.83203125" bestFit="1" customWidth="1"/>
  </cols>
  <sheetData>
    <row r="1" spans="2:11">
      <c r="B1" s="1"/>
      <c r="C1" s="1"/>
      <c r="D1" s="1"/>
      <c r="E1" s="1"/>
      <c r="F1" s="1"/>
      <c r="G1" s="1"/>
      <c r="H1" s="1"/>
      <c r="I1" s="1"/>
      <c r="J1" s="1"/>
      <c r="K1" s="1"/>
    </row>
    <row r="2" spans="2:11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>
      <c r="B3" s="1"/>
      <c r="C3" s="1"/>
      <c r="D3" s="1"/>
      <c r="E3" s="1"/>
      <c r="F3" s="1"/>
      <c r="G3" s="1"/>
      <c r="H3" s="1"/>
      <c r="I3" s="1"/>
      <c r="J3" s="1"/>
      <c r="K3" s="1"/>
    </row>
    <row r="4" spans="2:11">
      <c r="B4" s="1"/>
      <c r="C4" s="1"/>
      <c r="D4" s="1"/>
      <c r="E4" s="1"/>
      <c r="F4" s="1"/>
      <c r="G4" s="1"/>
      <c r="H4" s="1"/>
      <c r="I4" s="1"/>
      <c r="J4" s="1"/>
      <c r="K4" s="1"/>
    </row>
    <row r="5" spans="2:11">
      <c r="F5">
        <v>0</v>
      </c>
      <c r="G5">
        <v>0.5</v>
      </c>
      <c r="H5">
        <v>1.5</v>
      </c>
      <c r="I5">
        <v>2.5</v>
      </c>
      <c r="J5">
        <v>3.5</v>
      </c>
      <c r="K5">
        <v>4.5</v>
      </c>
    </row>
    <row r="6" spans="2:11">
      <c r="B6" s="53" t="s">
        <v>275</v>
      </c>
      <c r="C6" s="54"/>
      <c r="D6" s="54"/>
      <c r="E6" s="54"/>
      <c r="F6" s="90">
        <f>'Raw FS'!N2</f>
        <v>44621</v>
      </c>
      <c r="G6" s="90">
        <f>F6+365</f>
        <v>44986</v>
      </c>
      <c r="H6" s="90">
        <f t="shared" ref="H6:K6" si="0">G6+365</f>
        <v>45351</v>
      </c>
      <c r="I6" s="90">
        <f t="shared" si="0"/>
        <v>45716</v>
      </c>
      <c r="J6" s="90">
        <f t="shared" si="0"/>
        <v>46081</v>
      </c>
      <c r="K6" s="90">
        <f t="shared" si="0"/>
        <v>46446</v>
      </c>
    </row>
    <row r="8" spans="2:11">
      <c r="B8" t="s">
        <v>230</v>
      </c>
      <c r="F8" s="121">
        <f>'Data Sheet'!K34-'Data Sheet'!K26</f>
        <v>4228.8900000000003</v>
      </c>
      <c r="G8" s="121">
        <f>F8*(1+$E$22)</f>
        <v>5106.3846750000002</v>
      </c>
      <c r="H8" s="121">
        <f t="shared" ref="H8:K8" si="1">G8*(1+$E$22)</f>
        <v>6165.9594950625005</v>
      </c>
      <c r="I8" s="121">
        <f t="shared" si="1"/>
        <v>7445.3960902879699</v>
      </c>
      <c r="J8" s="121">
        <f t="shared" si="1"/>
        <v>8990.3157790227233</v>
      </c>
      <c r="K8" s="121">
        <f t="shared" si="1"/>
        <v>10855.806303169938</v>
      </c>
    </row>
    <row r="10" spans="2:11">
      <c r="B10" t="s">
        <v>31</v>
      </c>
      <c r="F10" s="16">
        <v>0.25</v>
      </c>
      <c r="G10" s="16">
        <f>F10</f>
        <v>0.25</v>
      </c>
      <c r="H10" s="16">
        <f t="shared" ref="H10:K10" si="2">G10</f>
        <v>0.25</v>
      </c>
      <c r="I10" s="16">
        <f t="shared" si="2"/>
        <v>0.25</v>
      </c>
      <c r="J10" s="16">
        <f t="shared" si="2"/>
        <v>0.25</v>
      </c>
      <c r="K10" s="16">
        <f t="shared" si="2"/>
        <v>0.25</v>
      </c>
    </row>
    <row r="12" spans="2:11">
      <c r="B12" t="s">
        <v>266</v>
      </c>
      <c r="F12" s="121">
        <f>F8*(1-F10)</f>
        <v>3171.6675000000005</v>
      </c>
      <c r="G12" s="121">
        <f t="shared" ref="G12:K12" si="3">G8*(1-G10)</f>
        <v>3829.78850625</v>
      </c>
      <c r="H12" s="121">
        <f t="shared" si="3"/>
        <v>4624.4696212968756</v>
      </c>
      <c r="I12" s="121">
        <f t="shared" si="3"/>
        <v>5584.0470677159774</v>
      </c>
      <c r="J12" s="121">
        <f t="shared" si="3"/>
        <v>6742.7368342670425</v>
      </c>
      <c r="K12" s="121">
        <f t="shared" si="3"/>
        <v>8141.8547273774539</v>
      </c>
    </row>
    <row r="14" spans="2:11">
      <c r="B14" t="s">
        <v>267</v>
      </c>
      <c r="F14" s="16">
        <v>0.4914</v>
      </c>
      <c r="G14" s="16">
        <f>F14</f>
        <v>0.4914</v>
      </c>
      <c r="H14" s="16">
        <f t="shared" ref="H14:K14" si="4">G14</f>
        <v>0.4914</v>
      </c>
      <c r="I14" s="16">
        <f t="shared" si="4"/>
        <v>0.4914</v>
      </c>
      <c r="J14" s="16">
        <f t="shared" si="4"/>
        <v>0.4914</v>
      </c>
      <c r="K14" s="16">
        <f t="shared" si="4"/>
        <v>0.4914</v>
      </c>
    </row>
    <row r="16" spans="2:11" ht="16" thickBot="1">
      <c r="B16" s="102" t="s">
        <v>268</v>
      </c>
      <c r="C16" s="102"/>
      <c r="D16" s="102"/>
      <c r="E16" s="102"/>
      <c r="F16" s="123">
        <f>F12*(1-F14)</f>
        <v>1613.1100905000001</v>
      </c>
      <c r="G16" s="123">
        <f t="shared" ref="G16:K16" si="5">G12*(1-G14)</f>
        <v>1947.8304342787499</v>
      </c>
      <c r="H16" s="123">
        <f t="shared" si="5"/>
        <v>2352.0052493915905</v>
      </c>
      <c r="I16" s="123">
        <f t="shared" si="5"/>
        <v>2840.0463386403458</v>
      </c>
      <c r="J16" s="123">
        <f t="shared" si="5"/>
        <v>3429.3559539082175</v>
      </c>
      <c r="K16" s="123">
        <f t="shared" si="5"/>
        <v>4140.9473143441728</v>
      </c>
    </row>
    <row r="18" spans="2:11">
      <c r="B18" t="s">
        <v>276</v>
      </c>
      <c r="F18" s="9">
        <f>1/(1+$E$29)^F5</f>
        <v>1</v>
      </c>
      <c r="G18" s="9">
        <f>1/(1+$E$29)^G5</f>
        <v>0.9127156045446092</v>
      </c>
      <c r="H18" s="9">
        <f t="shared" ref="H18:K18" si="6">1/(1+$E$29)^H5</f>
        <v>0.76033752880337668</v>
      </c>
      <c r="I18" s="9">
        <f t="shared" si="6"/>
        <v>0.63339900712585029</v>
      </c>
      <c r="J18" s="9">
        <f t="shared" si="6"/>
        <v>0.52765290023157829</v>
      </c>
      <c r="K18" s="9">
        <f t="shared" si="6"/>
        <v>0.43956112969952466</v>
      </c>
    </row>
    <row r="20" spans="2:11" ht="16" thickBot="1">
      <c r="B20" s="102" t="s">
        <v>277</v>
      </c>
      <c r="C20" s="102"/>
      <c r="D20" s="102"/>
      <c r="E20" s="102"/>
      <c r="F20" s="123">
        <f>F18*F16</f>
        <v>1613.1100905000001</v>
      </c>
      <c r="G20" s="123">
        <f t="shared" ref="G20:K20" si="7">G18*G16</f>
        <v>1777.8152323731179</v>
      </c>
      <c r="H20" s="123">
        <f t="shared" si="7"/>
        <v>1788.3178590549717</v>
      </c>
      <c r="I20" s="123">
        <f t="shared" si="7"/>
        <v>1798.8825310862014</v>
      </c>
      <c r="J20" s="123">
        <f t="shared" si="7"/>
        <v>1809.5096150061017</v>
      </c>
      <c r="K20" s="123">
        <f t="shared" si="7"/>
        <v>1820.1994795193373</v>
      </c>
    </row>
    <row r="22" spans="2:11">
      <c r="B22" s="49" t="s">
        <v>269</v>
      </c>
      <c r="C22" s="49"/>
      <c r="D22" s="124"/>
      <c r="E22" s="124">
        <v>0.20749999999999999</v>
      </c>
    </row>
    <row r="23" spans="2:11">
      <c r="B23" s="49" t="s">
        <v>270</v>
      </c>
      <c r="C23" s="49"/>
      <c r="D23" s="124"/>
      <c r="E23" s="124">
        <v>5.3800000000000001E-2</v>
      </c>
    </row>
    <row r="26" spans="2:11">
      <c r="B26" s="53" t="s">
        <v>271</v>
      </c>
      <c r="C26" s="54"/>
      <c r="D26" s="54"/>
      <c r="E26" s="54"/>
    </row>
    <row r="28" spans="2:11">
      <c r="B28" t="s">
        <v>272</v>
      </c>
      <c r="E28" s="121">
        <f>K16*(1+E22)</f>
        <v>5000.1938820705891</v>
      </c>
    </row>
    <row r="29" spans="2:11">
      <c r="B29" t="s">
        <v>100</v>
      </c>
      <c r="E29" s="16">
        <f>WACC!J47</f>
        <v>0.20040846330582401</v>
      </c>
    </row>
    <row r="30" spans="2:11">
      <c r="B30" t="s">
        <v>273</v>
      </c>
      <c r="E30" s="16">
        <f>E23</f>
        <v>5.3800000000000001E-2</v>
      </c>
    </row>
    <row r="32" spans="2:11" ht="16" thickBot="1">
      <c r="B32" s="102" t="s">
        <v>274</v>
      </c>
      <c r="C32" s="102"/>
      <c r="D32" s="102"/>
      <c r="E32" s="102">
        <f>E28/(E29-E30)</f>
        <v>34105.765583534063</v>
      </c>
    </row>
    <row r="35" spans="2:5">
      <c r="B35" s="53" t="s">
        <v>278</v>
      </c>
      <c r="C35" s="54"/>
      <c r="D35" s="54"/>
      <c r="E35" s="54"/>
    </row>
    <row r="37" spans="2:5">
      <c r="B37" t="s">
        <v>277</v>
      </c>
      <c r="E37" s="121">
        <f>SUM(G20:K20)</f>
        <v>8994.7247170397295</v>
      </c>
    </row>
    <row r="38" spans="2:5">
      <c r="B38" t="s">
        <v>279</v>
      </c>
      <c r="E38" s="125">
        <f>E32*K18</f>
        <v>14991.5688491654</v>
      </c>
    </row>
    <row r="39" spans="2:5">
      <c r="B39" s="2" t="s">
        <v>280</v>
      </c>
      <c r="C39" s="2"/>
      <c r="D39" s="2"/>
      <c r="E39" s="122">
        <f>SUM(E37:E38)</f>
        <v>23986.293566205131</v>
      </c>
    </row>
    <row r="41" spans="2:5">
      <c r="B41" t="s">
        <v>281</v>
      </c>
      <c r="E41">
        <f>'Raw FS'!N37</f>
        <v>864</v>
      </c>
    </row>
    <row r="42" spans="2:5">
      <c r="B42" t="s">
        <v>282</v>
      </c>
      <c r="E42">
        <f>SUM('Raw FS'!N7:N8)</f>
        <v>776</v>
      </c>
    </row>
    <row r="43" spans="2:5">
      <c r="B43" s="2" t="s">
        <v>283</v>
      </c>
      <c r="C43" s="2"/>
      <c r="D43" s="2"/>
      <c r="E43" s="122">
        <f>E39+E41-E42</f>
        <v>24074.293566205131</v>
      </c>
    </row>
    <row r="44" spans="2:5">
      <c r="B44" t="s">
        <v>284</v>
      </c>
      <c r="E44" s="121">
        <f>'Data Sheet'!B6</f>
        <v>95.919780046582488</v>
      </c>
    </row>
    <row r="45" spans="2:5">
      <c r="B45" t="s">
        <v>285</v>
      </c>
      <c r="E45" s="125">
        <f>E43/E44</f>
        <v>250.98361937979519</v>
      </c>
    </row>
  </sheetData>
  <pageMargins left="0.7" right="0.7" top="0.75" bottom="0.75" header="0.3" footer="0.3"/>
  <ignoredErrors>
    <ignoredError sqref="E42" formulaRange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F5D2E-251C-4D87-A92D-05E59C632417}">
  <dimension ref="A2:M76"/>
  <sheetViews>
    <sheetView showGridLines="0" zoomScale="90" zoomScaleNormal="90" workbookViewId="0">
      <pane ySplit="3" topLeftCell="A5" activePane="bottomLeft" state="frozen"/>
      <selection activeCell="C4" sqref="C4"/>
      <selection pane="bottomLeft" activeCell="Q8" sqref="Q8"/>
    </sheetView>
  </sheetViews>
  <sheetFormatPr baseColWidth="10" defaultColWidth="8.83203125" defaultRowHeight="15"/>
  <cols>
    <col min="1" max="1" width="1.83203125" customWidth="1"/>
    <col min="2" max="2" width="28.5" bestFit="1" customWidth="1"/>
    <col min="3" max="13" width="13" customWidth="1"/>
  </cols>
  <sheetData>
    <row r="2" spans="1:13">
      <c r="B2" s="126" t="str">
        <f>"Historical Financial Statement - "&amp;'Data Sheet'!B1</f>
        <v>Historical Financial Statement - ASIAN PAINTS LTD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</row>
    <row r="3" spans="1:13">
      <c r="B3" s="53" t="s">
        <v>101</v>
      </c>
      <c r="C3" s="90">
        <f>'Data Sheet'!B16</f>
        <v>41364</v>
      </c>
      <c r="D3" s="90">
        <f>'Data Sheet'!C16</f>
        <v>41729</v>
      </c>
      <c r="E3" s="90">
        <f>'Data Sheet'!D16</f>
        <v>42094</v>
      </c>
      <c r="F3" s="90">
        <f>'Data Sheet'!E16</f>
        <v>42460</v>
      </c>
      <c r="G3" s="90">
        <f>'Data Sheet'!F16</f>
        <v>42825</v>
      </c>
      <c r="H3" s="90">
        <f>'Data Sheet'!G16</f>
        <v>43190</v>
      </c>
      <c r="I3" s="90">
        <f>'Data Sheet'!H16</f>
        <v>43555</v>
      </c>
      <c r="J3" s="90">
        <f>'Data Sheet'!I16</f>
        <v>43921</v>
      </c>
      <c r="K3" s="90">
        <f>'Data Sheet'!J16</f>
        <v>44286</v>
      </c>
      <c r="L3" s="90">
        <f>'Data Sheet'!K16</f>
        <v>44651</v>
      </c>
      <c r="M3" s="120" t="s">
        <v>102</v>
      </c>
    </row>
    <row r="4" spans="1:13">
      <c r="B4" s="64"/>
      <c r="C4" s="65"/>
      <c r="D4" s="65"/>
      <c r="E4" s="65"/>
      <c r="F4" s="65"/>
      <c r="G4" s="65"/>
      <c r="H4" s="65"/>
      <c r="I4" s="65"/>
      <c r="J4" s="65"/>
      <c r="K4" s="65"/>
      <c r="L4" s="65"/>
      <c r="M4" s="66"/>
    </row>
    <row r="5" spans="1:13">
      <c r="A5" t="s">
        <v>103</v>
      </c>
      <c r="B5" s="67" t="s">
        <v>104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>
      <c r="B6" t="s">
        <v>105</v>
      </c>
      <c r="C6" s="68">
        <f>IFERROR('Data Sheet'!B17,0)</f>
        <v>10503.91</v>
      </c>
      <c r="D6" s="68">
        <f>IFERROR('Data Sheet'!C17,0)</f>
        <v>12220.37</v>
      </c>
      <c r="E6" s="68">
        <f>IFERROR('Data Sheet'!D17,0)</f>
        <v>13615.26</v>
      </c>
      <c r="F6" s="68">
        <f>IFERROR('Data Sheet'!E17,0)</f>
        <v>14271.49</v>
      </c>
      <c r="G6" s="68">
        <f>IFERROR('Data Sheet'!F17,0)</f>
        <v>15061.99</v>
      </c>
      <c r="H6" s="68">
        <f>IFERROR('Data Sheet'!G17,0)</f>
        <v>16824.55</v>
      </c>
      <c r="I6" s="68">
        <f>IFERROR('Data Sheet'!H17,0)</f>
        <v>19240.13</v>
      </c>
      <c r="J6" s="68">
        <f>IFERROR('Data Sheet'!I17,0)</f>
        <v>20211.25</v>
      </c>
      <c r="K6" s="68">
        <f>IFERROR('Data Sheet'!J17,0)</f>
        <v>21712.79</v>
      </c>
      <c r="L6" s="68">
        <f>IFERROR('Data Sheet'!K17,0)</f>
        <v>29101.279999999999</v>
      </c>
      <c r="M6" s="68">
        <f>IFERROR(SUM('Data Sheet'!H42:K42),0)</f>
        <v>33593.919999999998</v>
      </c>
    </row>
    <row r="7" spans="1:13">
      <c r="B7" s="69" t="s">
        <v>106</v>
      </c>
      <c r="C7" s="70" t="s">
        <v>107</v>
      </c>
      <c r="D7" s="71">
        <f>D6/C6-1</f>
        <v>0.1634115296113543</v>
      </c>
      <c r="E7" s="71">
        <f t="shared" ref="E7:M7" si="0">E6/D6-1</f>
        <v>0.11414466174101112</v>
      </c>
      <c r="F7" s="71">
        <f t="shared" si="0"/>
        <v>4.8198124751198224E-2</v>
      </c>
      <c r="G7" s="71">
        <f t="shared" si="0"/>
        <v>5.5390151974320734E-2</v>
      </c>
      <c r="H7" s="71">
        <f t="shared" si="0"/>
        <v>0.11702039371955486</v>
      </c>
      <c r="I7" s="71">
        <f t="shared" si="0"/>
        <v>0.14357471670861943</v>
      </c>
      <c r="J7" s="71">
        <f t="shared" si="0"/>
        <v>5.0473671435691925E-2</v>
      </c>
      <c r="K7" s="71">
        <f t="shared" si="0"/>
        <v>7.4292287711052118E-2</v>
      </c>
      <c r="L7" s="71">
        <f t="shared" si="0"/>
        <v>0.34028284711453471</v>
      </c>
      <c r="M7" s="71">
        <f t="shared" si="0"/>
        <v>0.15437946372118327</v>
      </c>
    </row>
    <row r="9" spans="1:13">
      <c r="B9" t="s">
        <v>108</v>
      </c>
      <c r="C9" s="68">
        <f>IFERROR(SUM('Data Sheet'!B18,'Data Sheet'!B20:B22)-1*'Data Sheet'!B19,0)</f>
        <v>7336.28</v>
      </c>
      <c r="D9" s="68">
        <f>IFERROR(SUM('Data Sheet'!C18,'Data Sheet'!C20:C22)-1*'Data Sheet'!C19,0)</f>
        <v>8438.98</v>
      </c>
      <c r="E9" s="68">
        <f>IFERROR(SUM('Data Sheet'!D18,'Data Sheet'!D20:D22)-1*'Data Sheet'!D19,0)</f>
        <v>9298.77</v>
      </c>
      <c r="F9" s="68">
        <f>IFERROR(SUM('Data Sheet'!E18,'Data Sheet'!E20:E22)-1*'Data Sheet'!E19,0)</f>
        <v>9413.8399999999983</v>
      </c>
      <c r="G9" s="68">
        <f>IFERROR(SUM('Data Sheet'!F18,'Data Sheet'!F20:F22)-1*'Data Sheet'!F19,0)</f>
        <v>9732.66</v>
      </c>
      <c r="H9" s="68">
        <f>IFERROR(SUM('Data Sheet'!G18,'Data Sheet'!G20:G22)-1*'Data Sheet'!G19,0)</f>
        <v>11194.169999999998</v>
      </c>
      <c r="I9" s="68">
        <f>IFERROR(SUM('Data Sheet'!H18,'Data Sheet'!H20:H22)-1*'Data Sheet'!H19,0)</f>
        <v>12905.81</v>
      </c>
      <c r="J9" s="68">
        <f>IFERROR(SUM('Data Sheet'!I18,'Data Sheet'!I20:I22)-1*'Data Sheet'!I19,0)</f>
        <v>13158.020000000002</v>
      </c>
      <c r="K9" s="68">
        <f>IFERROR(SUM('Data Sheet'!J18,'Data Sheet'!J20:J22)-1*'Data Sheet'!J19,0)</f>
        <v>14035.069999999998</v>
      </c>
      <c r="L9" s="68">
        <f>IFERROR(SUM('Data Sheet'!K18,'Data Sheet'!K20:K22)-1*'Data Sheet'!K19,0)</f>
        <v>20590.57</v>
      </c>
      <c r="M9" s="68">
        <f>IFERROR(SUM('Data Sheet'!H43:K43),0)</f>
        <v>27755.55</v>
      </c>
    </row>
    <row r="10" spans="1:13">
      <c r="B10" s="69" t="s">
        <v>109</v>
      </c>
      <c r="C10" s="71">
        <f>C9/C6</f>
        <v>0.69843325009448864</v>
      </c>
      <c r="D10" s="71">
        <f t="shared" ref="D10:M10" si="1">D9/D6</f>
        <v>0.69056665223720715</v>
      </c>
      <c r="E10" s="71">
        <f t="shared" si="1"/>
        <v>0.68296675935678053</v>
      </c>
      <c r="F10" s="71">
        <f t="shared" si="1"/>
        <v>0.65962558919916547</v>
      </c>
      <c r="G10" s="71">
        <f t="shared" si="1"/>
        <v>0.64617357998511482</v>
      </c>
      <c r="H10" s="71">
        <f t="shared" si="1"/>
        <v>0.66534736441687881</v>
      </c>
      <c r="I10" s="71">
        <f t="shared" si="1"/>
        <v>0.67077561326248825</v>
      </c>
      <c r="J10" s="71">
        <f t="shared" si="1"/>
        <v>0.65102455315727636</v>
      </c>
      <c r="K10" s="71">
        <f t="shared" si="1"/>
        <v>0.64639643270164715</v>
      </c>
      <c r="L10" s="71">
        <f t="shared" si="1"/>
        <v>0.70754860267314701</v>
      </c>
      <c r="M10" s="71">
        <f t="shared" si="1"/>
        <v>0.82620753993579787</v>
      </c>
    </row>
    <row r="12" spans="1:13">
      <c r="B12" s="72" t="s">
        <v>110</v>
      </c>
      <c r="C12" s="73">
        <f>C6-C9</f>
        <v>3167.63</v>
      </c>
      <c r="D12" s="73">
        <f t="shared" ref="D12:M12" si="2">D6-D9</f>
        <v>3781.3900000000012</v>
      </c>
      <c r="E12" s="73">
        <f t="shared" si="2"/>
        <v>4316.49</v>
      </c>
      <c r="F12" s="73">
        <f t="shared" si="2"/>
        <v>4857.6500000000015</v>
      </c>
      <c r="G12" s="73">
        <f t="shared" si="2"/>
        <v>5329.33</v>
      </c>
      <c r="H12" s="73">
        <f t="shared" si="2"/>
        <v>5630.380000000001</v>
      </c>
      <c r="I12" s="73">
        <f t="shared" si="2"/>
        <v>6334.3200000000015</v>
      </c>
      <c r="J12" s="73">
        <f t="shared" si="2"/>
        <v>7053.2299999999977</v>
      </c>
      <c r="K12" s="73">
        <f t="shared" si="2"/>
        <v>7677.720000000003</v>
      </c>
      <c r="L12" s="73">
        <f t="shared" si="2"/>
        <v>8510.7099999999991</v>
      </c>
      <c r="M12" s="73">
        <f t="shared" si="2"/>
        <v>5838.369999999999</v>
      </c>
    </row>
    <row r="13" spans="1:13">
      <c r="B13" s="69" t="s">
        <v>111</v>
      </c>
      <c r="C13" s="71">
        <f>C12/C6</f>
        <v>0.30156674990551141</v>
      </c>
      <c r="D13" s="71">
        <f t="shared" ref="D13:M13" si="3">D12/D6</f>
        <v>0.30943334776279285</v>
      </c>
      <c r="E13" s="71">
        <f t="shared" si="3"/>
        <v>0.31703324064321942</v>
      </c>
      <c r="F13" s="71">
        <f t="shared" si="3"/>
        <v>0.34037441080083447</v>
      </c>
      <c r="G13" s="71">
        <f t="shared" si="3"/>
        <v>0.35382642001488518</v>
      </c>
      <c r="H13" s="71">
        <f t="shared" si="3"/>
        <v>0.33465263558312119</v>
      </c>
      <c r="I13" s="71">
        <f t="shared" si="3"/>
        <v>0.3292243867375117</v>
      </c>
      <c r="J13" s="71">
        <f t="shared" si="3"/>
        <v>0.34897544684272364</v>
      </c>
      <c r="K13" s="71">
        <f t="shared" si="3"/>
        <v>0.35360356729835285</v>
      </c>
      <c r="L13" s="71">
        <f t="shared" si="3"/>
        <v>0.29245139732685294</v>
      </c>
      <c r="M13" s="71">
        <f t="shared" si="3"/>
        <v>0.17379246006420207</v>
      </c>
    </row>
    <row r="15" spans="1:13">
      <c r="B15" t="s">
        <v>112</v>
      </c>
      <c r="C15" s="74">
        <f>IFERROR(SUM('Data Sheet'!B23:B24),0)</f>
        <v>1430.2399999999998</v>
      </c>
      <c r="D15" s="74">
        <f>IFERROR(SUM('Data Sheet'!C23:C24),0)</f>
        <v>1777.7299999999998</v>
      </c>
      <c r="E15" s="74">
        <f>IFERROR(SUM('Data Sheet'!D23:D24),0)</f>
        <v>2073.6</v>
      </c>
      <c r="F15" s="74">
        <f>IFERROR(SUM('Data Sheet'!E23:E24),0)</f>
        <v>2132.61</v>
      </c>
      <c r="G15" s="74">
        <f>IFERROR(SUM('Data Sheet'!F23:F24),0)</f>
        <v>2335.5699999999997</v>
      </c>
      <c r="H15" s="74">
        <f>IFERROR(SUM('Data Sheet'!G23:G24),0)</f>
        <v>2426.37</v>
      </c>
      <c r="I15" s="74">
        <f>IFERROR(SUM('Data Sheet'!H23:H24),0)</f>
        <v>2569.38</v>
      </c>
      <c r="J15" s="74">
        <f>IFERROR(SUM('Data Sheet'!I23:I24),0)</f>
        <v>2896.4100000000003</v>
      </c>
      <c r="K15" s="74">
        <f>IFERROR(SUM('Data Sheet'!J23:J24),0)</f>
        <v>2822.12</v>
      </c>
      <c r="L15" s="74">
        <f>IFERROR(SUM('Data Sheet'!K23:K24),0)</f>
        <v>3707.1</v>
      </c>
      <c r="M15" s="74"/>
    </row>
    <row r="16" spans="1:13">
      <c r="B16" s="69" t="s">
        <v>113</v>
      </c>
      <c r="C16" s="71">
        <f>C15/C6</f>
        <v>0.13616262896388104</v>
      </c>
      <c r="D16" s="71">
        <f t="shared" ref="D16:M16" si="4">D15/D6</f>
        <v>0.14547268208736722</v>
      </c>
      <c r="E16" s="71">
        <f t="shared" si="4"/>
        <v>0.15229969901419435</v>
      </c>
      <c r="F16" s="71">
        <f t="shared" si="4"/>
        <v>0.14943148893353111</v>
      </c>
      <c r="G16" s="71">
        <f t="shared" si="4"/>
        <v>0.15506383950593511</v>
      </c>
      <c r="H16" s="71">
        <f t="shared" si="4"/>
        <v>0.14421604143944414</v>
      </c>
      <c r="I16" s="71">
        <f t="shared" si="4"/>
        <v>0.13354275672773522</v>
      </c>
      <c r="J16" s="71">
        <f t="shared" si="4"/>
        <v>0.14330682169583772</v>
      </c>
      <c r="K16" s="71">
        <f t="shared" si="4"/>
        <v>0.12997500551518251</v>
      </c>
      <c r="L16" s="71">
        <f t="shared" si="4"/>
        <v>0.1273861493377611</v>
      </c>
      <c r="M16" s="71">
        <f t="shared" si="4"/>
        <v>0</v>
      </c>
    </row>
    <row r="18" spans="2:13">
      <c r="B18" s="72" t="s">
        <v>114</v>
      </c>
      <c r="C18" s="73">
        <f t="shared" ref="C18:L18" si="5">C12-C15</f>
        <v>1737.3900000000003</v>
      </c>
      <c r="D18" s="73">
        <f t="shared" si="5"/>
        <v>2003.6600000000014</v>
      </c>
      <c r="E18" s="73">
        <f t="shared" si="5"/>
        <v>2242.89</v>
      </c>
      <c r="F18" s="73">
        <f t="shared" si="5"/>
        <v>2725.0400000000013</v>
      </c>
      <c r="G18" s="73">
        <f t="shared" si="5"/>
        <v>2993.76</v>
      </c>
      <c r="H18" s="73">
        <f t="shared" si="5"/>
        <v>3204.0100000000011</v>
      </c>
      <c r="I18" s="73">
        <f t="shared" si="5"/>
        <v>3764.9400000000014</v>
      </c>
      <c r="J18" s="73">
        <f t="shared" si="5"/>
        <v>4156.8199999999979</v>
      </c>
      <c r="K18" s="73">
        <f t="shared" si="5"/>
        <v>4855.6000000000031</v>
      </c>
      <c r="L18" s="73">
        <f t="shared" si="5"/>
        <v>4803.6099999999988</v>
      </c>
      <c r="M18" s="73">
        <f>IFERROR(SUM('Data Sheet'!H51:K51),0)</f>
        <v>6051.04</v>
      </c>
    </row>
    <row r="19" spans="2:13">
      <c r="B19" s="69" t="s">
        <v>115</v>
      </c>
      <c r="C19" s="71">
        <f>C18/C6</f>
        <v>0.16540412094163034</v>
      </c>
      <c r="D19" s="71">
        <f t="shared" ref="D19:M19" si="6">D18/D6</f>
        <v>0.16396066567542564</v>
      </c>
      <c r="E19" s="71">
        <f t="shared" si="6"/>
        <v>0.16473354162902507</v>
      </c>
      <c r="F19" s="71">
        <f t="shared" si="6"/>
        <v>0.19094292186730338</v>
      </c>
      <c r="G19" s="71">
        <f t="shared" si="6"/>
        <v>0.19876258050895004</v>
      </c>
      <c r="H19" s="71">
        <f t="shared" si="6"/>
        <v>0.19043659414367703</v>
      </c>
      <c r="I19" s="71">
        <f t="shared" si="6"/>
        <v>0.19568163000977651</v>
      </c>
      <c r="J19" s="71">
        <f t="shared" si="6"/>
        <v>0.20566862514688591</v>
      </c>
      <c r="K19" s="71">
        <f t="shared" si="6"/>
        <v>0.22362856178317034</v>
      </c>
      <c r="L19" s="71">
        <f t="shared" si="6"/>
        <v>0.16506524798909186</v>
      </c>
      <c r="M19" s="71">
        <f t="shared" si="6"/>
        <v>0.18012306988883703</v>
      </c>
    </row>
    <row r="21" spans="2:13">
      <c r="B21" t="s">
        <v>116</v>
      </c>
      <c r="C21" s="74">
        <f>IFERROR('Data Sheet'!B27,0)</f>
        <v>42.06</v>
      </c>
      <c r="D21" s="74">
        <f>IFERROR('Data Sheet'!C27,0)</f>
        <v>47.99</v>
      </c>
      <c r="E21" s="74">
        <f>IFERROR('Data Sheet'!D27,0)</f>
        <v>42.24</v>
      </c>
      <c r="F21" s="74">
        <f>IFERROR('Data Sheet'!E27,0)</f>
        <v>49</v>
      </c>
      <c r="G21" s="74">
        <f>IFERROR('Data Sheet'!F27,0)</f>
        <v>37.33</v>
      </c>
      <c r="H21" s="74">
        <f>IFERROR('Data Sheet'!G27,0)</f>
        <v>41.47</v>
      </c>
      <c r="I21" s="74">
        <f>IFERROR('Data Sheet'!H27,0)</f>
        <v>110.47</v>
      </c>
      <c r="J21" s="74">
        <f>IFERROR('Data Sheet'!I27,0)</f>
        <v>102.33</v>
      </c>
      <c r="K21" s="74">
        <f>IFERROR('Data Sheet'!J27,0)</f>
        <v>91.63</v>
      </c>
      <c r="L21" s="74">
        <f>IFERROR('Data Sheet'!K27,0)</f>
        <v>95.41</v>
      </c>
      <c r="M21" s="74">
        <f>IFERROR(SUM('Data Sheet'!H46:K46),0)</f>
        <v>128.16000000000003</v>
      </c>
    </row>
    <row r="22" spans="2:13">
      <c r="B22" s="69" t="s">
        <v>117</v>
      </c>
      <c r="C22" s="71">
        <f>C21/C6</f>
        <v>4.0042231892695197E-3</v>
      </c>
      <c r="D22" s="71">
        <f t="shared" ref="D22:M22" si="7">D21/D6</f>
        <v>3.9270496719821081E-3</v>
      </c>
      <c r="E22" s="71">
        <f t="shared" si="7"/>
        <v>3.1024012762150706E-3</v>
      </c>
      <c r="F22" s="71">
        <f t="shared" si="7"/>
        <v>3.4334186549547386E-3</v>
      </c>
      <c r="G22" s="71">
        <f t="shared" si="7"/>
        <v>2.4784241657310885E-3</v>
      </c>
      <c r="H22" s="71">
        <f t="shared" si="7"/>
        <v>2.4648504714836358E-3</v>
      </c>
      <c r="I22" s="71">
        <f t="shared" si="7"/>
        <v>5.7416451967840128E-3</v>
      </c>
      <c r="J22" s="71">
        <f t="shared" si="7"/>
        <v>5.0630218319005502E-3</v>
      </c>
      <c r="K22" s="71">
        <f t="shared" si="7"/>
        <v>4.2200933182700148E-3</v>
      </c>
      <c r="L22" s="71">
        <f t="shared" si="7"/>
        <v>3.2785499469439143E-3</v>
      </c>
      <c r="M22" s="71">
        <f t="shared" si="7"/>
        <v>3.8149760432840238E-3</v>
      </c>
    </row>
    <row r="24" spans="2:13">
      <c r="B24" t="s">
        <v>118</v>
      </c>
      <c r="C24" s="74">
        <f>IFERROR('Data Sheet'!B26,0)</f>
        <v>154.6</v>
      </c>
      <c r="D24" s="74">
        <f>IFERROR('Data Sheet'!C26,0)</f>
        <v>245.66</v>
      </c>
      <c r="E24" s="74">
        <f>IFERROR('Data Sheet'!D26,0)</f>
        <v>265.92</v>
      </c>
      <c r="F24" s="74">
        <f>IFERROR('Data Sheet'!E26,0)</f>
        <v>275.58</v>
      </c>
      <c r="G24" s="74">
        <f>IFERROR('Data Sheet'!F26,0)</f>
        <v>334.79</v>
      </c>
      <c r="H24" s="74">
        <f>IFERROR('Data Sheet'!G26,0)</f>
        <v>360.47</v>
      </c>
      <c r="I24" s="74">
        <f>IFERROR('Data Sheet'!H26,0)</f>
        <v>622.14</v>
      </c>
      <c r="J24" s="74">
        <f>IFERROR('Data Sheet'!I26,0)</f>
        <v>780.5</v>
      </c>
      <c r="K24" s="74">
        <f>IFERROR('Data Sheet'!J26,0)</f>
        <v>791.27</v>
      </c>
      <c r="L24" s="74">
        <f>IFERROR('Data Sheet'!K26,0)</f>
        <v>816.36</v>
      </c>
      <c r="M24" s="74">
        <f>IFERROR(SUM('Data Sheet'!H45:K45),0)</f>
        <v>842.96</v>
      </c>
    </row>
    <row r="25" spans="2:13">
      <c r="B25" s="69" t="s">
        <v>119</v>
      </c>
      <c r="C25" s="71">
        <f>C24/C6</f>
        <v>1.4718328698551301E-2</v>
      </c>
      <c r="D25" s="71">
        <f t="shared" ref="D25:M25" si="8">D24/D6</f>
        <v>2.0102500988104288E-2</v>
      </c>
      <c r="E25" s="71">
        <f t="shared" si="8"/>
        <v>1.953102621617215E-2</v>
      </c>
      <c r="F25" s="71">
        <f t="shared" si="8"/>
        <v>1.9309826794539322E-2</v>
      </c>
      <c r="G25" s="71">
        <f t="shared" si="8"/>
        <v>2.2227474590011016E-2</v>
      </c>
      <c r="H25" s="71">
        <f t="shared" si="8"/>
        <v>2.1425238713665449E-2</v>
      </c>
      <c r="I25" s="71">
        <f t="shared" si="8"/>
        <v>3.2335540352378074E-2</v>
      </c>
      <c r="J25" s="71">
        <f t="shared" si="8"/>
        <v>3.8617106809326486E-2</v>
      </c>
      <c r="K25" s="71">
        <f t="shared" si="8"/>
        <v>3.6442576011650275E-2</v>
      </c>
      <c r="L25" s="71">
        <f t="shared" si="8"/>
        <v>2.8052374328551871E-2</v>
      </c>
      <c r="M25" s="71">
        <f t="shared" si="8"/>
        <v>2.5092635810289483E-2</v>
      </c>
    </row>
    <row r="27" spans="2:13">
      <c r="B27" s="72" t="s">
        <v>120</v>
      </c>
      <c r="C27" s="73">
        <f>IFERROR(C18-SUM(C24,C21),0)</f>
        <v>1540.7300000000002</v>
      </c>
      <c r="D27" s="73">
        <f t="shared" ref="D27:M27" si="9">IFERROR(D18-SUM(D24,D21),0)</f>
        <v>1710.0100000000016</v>
      </c>
      <c r="E27" s="73">
        <f t="shared" si="9"/>
        <v>1934.7299999999998</v>
      </c>
      <c r="F27" s="73">
        <f t="shared" si="9"/>
        <v>2400.4600000000014</v>
      </c>
      <c r="G27" s="73">
        <f t="shared" si="9"/>
        <v>2621.6400000000003</v>
      </c>
      <c r="H27" s="73">
        <f t="shared" si="9"/>
        <v>2802.0700000000011</v>
      </c>
      <c r="I27" s="75">
        <f t="shared" si="9"/>
        <v>3032.3300000000013</v>
      </c>
      <c r="J27" s="75">
        <f t="shared" si="9"/>
        <v>3273.989999999998</v>
      </c>
      <c r="K27" s="75">
        <f t="shared" si="9"/>
        <v>3972.700000000003</v>
      </c>
      <c r="L27" s="75">
        <f t="shared" si="9"/>
        <v>3891.8399999999988</v>
      </c>
      <c r="M27" s="75">
        <f t="shared" si="9"/>
        <v>5079.92</v>
      </c>
    </row>
    <row r="28" spans="2:13">
      <c r="B28" s="69" t="s">
        <v>121</v>
      </c>
      <c r="C28" s="71">
        <f>C27/C6</f>
        <v>0.14668156905380952</v>
      </c>
      <c r="D28" s="71">
        <f t="shared" ref="D28:M28" si="10">D27/D6</f>
        <v>0.13993111501533925</v>
      </c>
      <c r="E28" s="71">
        <f t="shared" si="10"/>
        <v>0.14210011413663784</v>
      </c>
      <c r="F28" s="71">
        <f t="shared" si="10"/>
        <v>0.16819967641780931</v>
      </c>
      <c r="G28" s="71">
        <f t="shared" si="10"/>
        <v>0.17405668175320793</v>
      </c>
      <c r="H28" s="71">
        <f t="shared" si="10"/>
        <v>0.16654650495852794</v>
      </c>
      <c r="I28" s="71">
        <f t="shared" si="10"/>
        <v>0.15760444446061442</v>
      </c>
      <c r="J28" s="71">
        <f t="shared" si="10"/>
        <v>0.16198849650565889</v>
      </c>
      <c r="K28" s="71">
        <f t="shared" si="10"/>
        <v>0.18296589245325004</v>
      </c>
      <c r="L28" s="71">
        <f t="shared" si="10"/>
        <v>0.13373432371359606</v>
      </c>
      <c r="M28" s="71">
        <f t="shared" si="10"/>
        <v>0.15121545803526354</v>
      </c>
    </row>
    <row r="30" spans="2:13">
      <c r="B30" t="s">
        <v>122</v>
      </c>
      <c r="C30" s="68">
        <f>IFERROR('Data Sheet'!B29,0)</f>
        <v>495.69</v>
      </c>
      <c r="D30" s="68">
        <f>IFERROR('Data Sheet'!C29,0)</f>
        <v>571.51</v>
      </c>
      <c r="E30" s="68">
        <f>IFERROR('Data Sheet'!D29,0)</f>
        <v>649.54</v>
      </c>
      <c r="F30" s="68">
        <f>IFERROR('Data Sheet'!E29,0)</f>
        <v>844.49</v>
      </c>
      <c r="G30" s="68">
        <f>IFERROR('Data Sheet'!F29,0)</f>
        <v>943.29</v>
      </c>
      <c r="H30" s="68">
        <f>IFERROR('Data Sheet'!G29,0)</f>
        <v>1040.96</v>
      </c>
      <c r="I30" s="68">
        <f>IFERROR('Data Sheet'!H29,0)</f>
        <v>1098.06</v>
      </c>
      <c r="J30" s="68">
        <f>IFERROR('Data Sheet'!I29,0)</f>
        <v>854.85</v>
      </c>
      <c r="K30" s="68">
        <f>IFERROR('Data Sheet'!J29,0)</f>
        <v>1097.5999999999999</v>
      </c>
      <c r="L30" s="68">
        <f>IFERROR('Data Sheet'!K29,0)</f>
        <v>1102.9100000000001</v>
      </c>
      <c r="M30" s="68">
        <f>IFERROR(SUM('Data Sheet'!H48:K48),0)</f>
        <v>1357.19</v>
      </c>
    </row>
    <row r="31" spans="2:13">
      <c r="B31" s="69" t="s">
        <v>123</v>
      </c>
      <c r="C31" s="71">
        <f>C30/C27</f>
        <v>0.32172411778832105</v>
      </c>
      <c r="D31" s="71">
        <f t="shared" ref="D31:M31" si="11">D30/D27</f>
        <v>0.3342144197987143</v>
      </c>
      <c r="E31" s="71">
        <f t="shared" si="11"/>
        <v>0.33572643211197428</v>
      </c>
      <c r="F31" s="71">
        <f t="shared" si="11"/>
        <v>0.35180340434749985</v>
      </c>
      <c r="G31" s="71">
        <f t="shared" si="11"/>
        <v>0.35980912711127377</v>
      </c>
      <c r="H31" s="71">
        <f t="shared" si="11"/>
        <v>0.37149678630441052</v>
      </c>
      <c r="I31" s="71">
        <f t="shared" si="11"/>
        <v>0.36211757955103813</v>
      </c>
      <c r="J31" s="71">
        <f t="shared" si="11"/>
        <v>0.26110342426213901</v>
      </c>
      <c r="K31" s="71">
        <f t="shared" si="11"/>
        <v>0.2762856495582347</v>
      </c>
      <c r="L31" s="71">
        <f t="shared" si="11"/>
        <v>0.2833903757605658</v>
      </c>
      <c r="M31" s="71">
        <f t="shared" si="11"/>
        <v>0.26716759319044397</v>
      </c>
    </row>
    <row r="33" spans="1:13">
      <c r="B33" s="72" t="s">
        <v>124</v>
      </c>
      <c r="C33" s="75">
        <f>IFERROR(C27-C30,0)</f>
        <v>1045.0400000000002</v>
      </c>
      <c r="D33" s="75">
        <f t="shared" ref="D33:M33" si="12">IFERROR(D27-D30,0)</f>
        <v>1138.5000000000016</v>
      </c>
      <c r="E33" s="75">
        <f t="shared" si="12"/>
        <v>1285.1899999999998</v>
      </c>
      <c r="F33" s="75">
        <f t="shared" si="12"/>
        <v>1555.9700000000014</v>
      </c>
      <c r="G33" s="75">
        <f t="shared" si="12"/>
        <v>1678.3500000000004</v>
      </c>
      <c r="H33" s="75">
        <f t="shared" si="12"/>
        <v>1761.110000000001</v>
      </c>
      <c r="I33" s="75">
        <f t="shared" si="12"/>
        <v>1934.2700000000013</v>
      </c>
      <c r="J33" s="75">
        <f t="shared" si="12"/>
        <v>2419.1399999999981</v>
      </c>
      <c r="K33" s="75">
        <f t="shared" si="12"/>
        <v>2875.1000000000031</v>
      </c>
      <c r="L33" s="75">
        <f t="shared" si="12"/>
        <v>2788.9299999999985</v>
      </c>
      <c r="M33" s="75">
        <f t="shared" si="12"/>
        <v>3722.73</v>
      </c>
    </row>
    <row r="34" spans="1:13">
      <c r="B34" s="69" t="s">
        <v>125</v>
      </c>
      <c r="C34" s="71">
        <f>C33/C6</f>
        <v>9.9490570654165944E-2</v>
      </c>
      <c r="D34" s="71">
        <f t="shared" ref="D34:M34" si="13">D33/D6</f>
        <v>9.3164118598700496E-2</v>
      </c>
      <c r="E34" s="71">
        <f t="shared" si="13"/>
        <v>9.43933498148401E-2</v>
      </c>
      <c r="F34" s="71">
        <f t="shared" si="13"/>
        <v>0.10902645764387611</v>
      </c>
      <c r="G34" s="71">
        <f t="shared" si="13"/>
        <v>0.1114294990237014</v>
      </c>
      <c r="H34" s="71">
        <f t="shared" si="13"/>
        <v>0.10467501359620324</v>
      </c>
      <c r="I34" s="71">
        <f t="shared" si="13"/>
        <v>0.1005331045060507</v>
      </c>
      <c r="J34" s="71">
        <f t="shared" si="13"/>
        <v>0.1196927453769558</v>
      </c>
      <c r="K34" s="71">
        <f t="shared" si="13"/>
        <v>0.13241504200980173</v>
      </c>
      <c r="L34" s="71">
        <f t="shared" si="13"/>
        <v>9.5835303464314917E-2</v>
      </c>
      <c r="M34" s="71">
        <f t="shared" si="13"/>
        <v>0.1108155880587916</v>
      </c>
    </row>
    <row r="36" spans="1:13">
      <c r="B36" t="s">
        <v>126</v>
      </c>
      <c r="C36">
        <f>IFERROR('Data Sheet'!B93,0)</f>
        <v>95.92</v>
      </c>
      <c r="D36">
        <f>IFERROR('Data Sheet'!C93,0)</f>
        <v>95.92</v>
      </c>
      <c r="E36">
        <f>IFERROR('Data Sheet'!D93,0)</f>
        <v>95.92</v>
      </c>
      <c r="F36">
        <f>IFERROR('Data Sheet'!E93,0)</f>
        <v>95.92</v>
      </c>
      <c r="G36">
        <f>IFERROR('Data Sheet'!F93,0)</f>
        <v>95.92</v>
      </c>
      <c r="H36">
        <f>IFERROR('Data Sheet'!G93,0)</f>
        <v>95.92</v>
      </c>
      <c r="I36">
        <f>IFERROR('Data Sheet'!H93,0)</f>
        <v>95.92</v>
      </c>
      <c r="J36">
        <f>IFERROR('Data Sheet'!I93,0)</f>
        <v>95.92</v>
      </c>
      <c r="K36">
        <f>IFERROR('Data Sheet'!J93,0)</f>
        <v>95.92</v>
      </c>
      <c r="L36">
        <f>IFERROR('Data Sheet'!K93,0)</f>
        <v>95.92</v>
      </c>
      <c r="M36">
        <f>L36</f>
        <v>95.92</v>
      </c>
    </row>
    <row r="37" spans="1:13"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</row>
    <row r="38" spans="1:13">
      <c r="B38" t="s">
        <v>127</v>
      </c>
      <c r="C38" s="74">
        <f>IFERROR(C33/C36,0)</f>
        <v>10.89491242702252</v>
      </c>
      <c r="D38" s="74">
        <f t="shared" ref="D38:M38" si="14">IFERROR(D33/D36,0)</f>
        <v>11.869266055045887</v>
      </c>
      <c r="E38" s="74">
        <f t="shared" si="14"/>
        <v>13.398561301084236</v>
      </c>
      <c r="F38" s="74">
        <f t="shared" si="14"/>
        <v>16.221538782318614</v>
      </c>
      <c r="G38" s="74">
        <f t="shared" si="14"/>
        <v>17.497393661384489</v>
      </c>
      <c r="H38" s="74">
        <f t="shared" si="14"/>
        <v>18.360195996663897</v>
      </c>
      <c r="I38" s="74">
        <f t="shared" si="14"/>
        <v>20.165450375312773</v>
      </c>
      <c r="J38" s="74">
        <f t="shared" si="14"/>
        <v>25.220391993327752</v>
      </c>
      <c r="K38" s="74">
        <f t="shared" si="14"/>
        <v>29.973936613844902</v>
      </c>
      <c r="L38" s="74">
        <f t="shared" si="14"/>
        <v>29.075583819849857</v>
      </c>
      <c r="M38" s="74">
        <f t="shared" si="14"/>
        <v>38.810779816513758</v>
      </c>
    </row>
    <row r="39" spans="1:13">
      <c r="B39" s="69" t="s">
        <v>128</v>
      </c>
      <c r="C39" s="71"/>
      <c r="D39" s="71">
        <f>IFERROR(D38/C38-1,0)</f>
        <v>8.943198346474901E-2</v>
      </c>
      <c r="E39" s="71">
        <f t="shared" ref="E39:M39" si="15">IFERROR(E38/D38-1,0)</f>
        <v>0.12884497145366547</v>
      </c>
      <c r="F39" s="71">
        <f t="shared" si="15"/>
        <v>0.21069258241972122</v>
      </c>
      <c r="G39" s="71">
        <f t="shared" si="15"/>
        <v>7.8651902028958443E-2</v>
      </c>
      <c r="H39" s="71">
        <f t="shared" si="15"/>
        <v>4.9310334554771629E-2</v>
      </c>
      <c r="I39" s="71">
        <f t="shared" si="15"/>
        <v>9.8324352255111824E-2</v>
      </c>
      <c r="J39" s="71">
        <f t="shared" si="15"/>
        <v>0.25067338065523237</v>
      </c>
      <c r="K39" s="71">
        <f t="shared" si="15"/>
        <v>0.18848020370875829</v>
      </c>
      <c r="L39" s="71">
        <f t="shared" si="15"/>
        <v>-2.9971131438908061E-2</v>
      </c>
      <c r="M39" s="71">
        <f t="shared" si="15"/>
        <v>0.33482374961006611</v>
      </c>
    </row>
    <row r="41" spans="1:13">
      <c r="B41" t="s">
        <v>129</v>
      </c>
      <c r="C41" s="76">
        <f>IFERROR('Data Sheet'!B31/HistoricalFS!C36,0)</f>
        <v>4.5999791492910758</v>
      </c>
      <c r="D41" s="76">
        <f>IFERROR('Data Sheet'!C31/HistoricalFS!D36,0)</f>
        <v>5.3000417014178485</v>
      </c>
      <c r="E41" s="68">
        <f>IFERROR('Data Sheet'!D31/HistoricalFS!E36,0)</f>
        <v>6.0999791492910758</v>
      </c>
      <c r="F41" s="68">
        <f>IFERROR('Data Sheet'!E31/HistoricalFS!F36,0)</f>
        <v>7.5</v>
      </c>
      <c r="G41" s="68">
        <f>IFERROR('Data Sheet'!F31/HistoricalFS!G36,0)</f>
        <v>10.300041701417848</v>
      </c>
      <c r="H41" s="68">
        <f>IFERROR('Data Sheet'!G31/HistoricalFS!H36,0)</f>
        <v>8.6999582985821515</v>
      </c>
      <c r="I41" s="68">
        <f>IFERROR('Data Sheet'!H31/HistoricalFS!I36,0)</f>
        <v>10.5</v>
      </c>
      <c r="J41" s="68">
        <f>IFERROR('Data Sheet'!I31/HistoricalFS!J36,0)</f>
        <v>12</v>
      </c>
      <c r="K41" s="68">
        <f>IFERROR('Data Sheet'!J31/HistoricalFS!K36,0)</f>
        <v>17.849979149291077</v>
      </c>
      <c r="L41" s="68">
        <f>IFERROR('Data Sheet'!K31/HistoricalFS!L36,0)</f>
        <v>19.150020850708923</v>
      </c>
      <c r="M41" s="68">
        <f>IFERROR('Data Sheet'!L31/HistoricalFS!M36,0)</f>
        <v>0</v>
      </c>
    </row>
    <row r="42" spans="1:13">
      <c r="B42" s="69" t="s">
        <v>130</v>
      </c>
      <c r="C42" s="71">
        <f>IFERROR(C41/C38,0)</f>
        <v>0.42221350378932859</v>
      </c>
      <c r="D42" s="71">
        <f t="shared" ref="D42:M42" si="16">IFERROR(D41/D38,0)</f>
        <v>0.44653491436100073</v>
      </c>
      <c r="E42" s="71">
        <f t="shared" si="16"/>
        <v>0.45527120503583129</v>
      </c>
      <c r="F42" s="71">
        <f t="shared" si="16"/>
        <v>0.46234824578880013</v>
      </c>
      <c r="G42" s="71">
        <f t="shared" si="16"/>
        <v>0.5886614830041409</v>
      </c>
      <c r="H42" s="71">
        <f t="shared" si="16"/>
        <v>0.47384887939992359</v>
      </c>
      <c r="I42" s="71">
        <f t="shared" si="16"/>
        <v>0.52069256101785133</v>
      </c>
      <c r="J42" s="71">
        <f t="shared" si="16"/>
        <v>0.47580545152409576</v>
      </c>
      <c r="K42" s="71">
        <f t="shared" si="16"/>
        <v>0.59551667768077576</v>
      </c>
      <c r="L42" s="71">
        <f t="shared" si="16"/>
        <v>0.65862893654555732</v>
      </c>
      <c r="M42" s="71">
        <f t="shared" si="16"/>
        <v>0</v>
      </c>
    </row>
    <row r="44" spans="1:13">
      <c r="B44" t="s">
        <v>131</v>
      </c>
      <c r="C44" s="14">
        <f>IFERROR(IF(C38&gt;C41,1-C42,0),0)</f>
        <v>0.57778649621067135</v>
      </c>
      <c r="D44" s="14">
        <f t="shared" ref="D44:M44" si="17">IFERROR(IF(D38&gt;D41,1-D42,0),0)</f>
        <v>0.55346508563899932</v>
      </c>
      <c r="E44" s="14">
        <f t="shared" si="17"/>
        <v>0.54472879496416871</v>
      </c>
      <c r="F44" s="14">
        <f t="shared" si="17"/>
        <v>0.53765175421119982</v>
      </c>
      <c r="G44" s="14">
        <f t="shared" si="17"/>
        <v>0.4113385169958591</v>
      </c>
      <c r="H44" s="14">
        <f t="shared" si="17"/>
        <v>0.52615112060007641</v>
      </c>
      <c r="I44" s="14">
        <f t="shared" si="17"/>
        <v>0.47930743898214867</v>
      </c>
      <c r="J44" s="14">
        <f t="shared" si="17"/>
        <v>0.5241945484759043</v>
      </c>
      <c r="K44" s="14">
        <f t="shared" si="17"/>
        <v>0.40448332231922424</v>
      </c>
      <c r="L44" s="14">
        <f t="shared" si="17"/>
        <v>0.34137106345444268</v>
      </c>
      <c r="M44" s="14">
        <f t="shared" si="17"/>
        <v>1</v>
      </c>
    </row>
    <row r="46" spans="1:13">
      <c r="A46" t="s">
        <v>103</v>
      </c>
      <c r="B46" s="67" t="s">
        <v>132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1:13">
      <c r="B47" t="s">
        <v>133</v>
      </c>
      <c r="C47" s="68">
        <f>IFERROR('Data Sheet'!B57,0)</f>
        <v>95.92</v>
      </c>
      <c r="D47" s="68">
        <f>IFERROR('Data Sheet'!C57,0)</f>
        <v>95.92</v>
      </c>
      <c r="E47" s="68">
        <f>IFERROR('Data Sheet'!D57,0)</f>
        <v>95.92</v>
      </c>
      <c r="F47" s="68">
        <f>IFERROR('Data Sheet'!E57,0)</f>
        <v>95.92</v>
      </c>
      <c r="G47" s="68">
        <f>IFERROR('Data Sheet'!F57,0)</f>
        <v>95.92</v>
      </c>
      <c r="H47" s="68">
        <f>IFERROR('Data Sheet'!G57,0)</f>
        <v>95.92</v>
      </c>
      <c r="I47" s="68">
        <f>IFERROR('Data Sheet'!H57,0)</f>
        <v>95.92</v>
      </c>
      <c r="J47" s="68">
        <f>IFERROR('Data Sheet'!I57,0)</f>
        <v>95.92</v>
      </c>
      <c r="K47" s="68">
        <f>IFERROR('Data Sheet'!J57,0)</f>
        <v>95.92</v>
      </c>
      <c r="L47" s="68">
        <f>IFERROR('Data Sheet'!K57,0)</f>
        <v>95.92</v>
      </c>
    </row>
    <row r="48" spans="1:13">
      <c r="B48" t="s">
        <v>134</v>
      </c>
      <c r="C48" s="68">
        <f>IFERROR('Data Sheet'!B58,0)</f>
        <v>3288.37</v>
      </c>
      <c r="D48" s="68">
        <f>IFERROR('Data Sheet'!C58,0)</f>
        <v>3943.3</v>
      </c>
      <c r="E48" s="68">
        <f>IFERROR('Data Sheet'!D58,0)</f>
        <v>4646.4399999999996</v>
      </c>
      <c r="F48" s="68">
        <f>IFERROR('Data Sheet'!E58,0)</f>
        <v>6428.9</v>
      </c>
      <c r="G48" s="68">
        <f>IFERROR('Data Sheet'!F58,0)</f>
        <v>7507.97</v>
      </c>
      <c r="H48" s="68">
        <f>IFERROR('Data Sheet'!G58,0)</f>
        <v>8314.31</v>
      </c>
      <c r="I48" s="68">
        <f>IFERROR('Data Sheet'!H58,0)</f>
        <v>9374.6299999999992</v>
      </c>
      <c r="J48" s="68">
        <f>IFERROR('Data Sheet'!I58,0)</f>
        <v>10034.24</v>
      </c>
      <c r="K48" s="68">
        <f>IFERROR('Data Sheet'!J58,0)</f>
        <v>12710.37</v>
      </c>
      <c r="L48" s="68">
        <f>IFERROR('Data Sheet'!K58,0)</f>
        <v>13715.64</v>
      </c>
    </row>
    <row r="49" spans="2:13">
      <c r="B49" t="s">
        <v>135</v>
      </c>
      <c r="C49" s="68">
        <f>IFERROR('Data Sheet'!B59,0)</f>
        <v>250.96</v>
      </c>
      <c r="D49" s="68">
        <f>IFERROR('Data Sheet'!C59,0)</f>
        <v>249.15</v>
      </c>
      <c r="E49" s="68">
        <f>IFERROR('Data Sheet'!D59,0)</f>
        <v>418.17</v>
      </c>
      <c r="F49" s="68">
        <f>IFERROR('Data Sheet'!E59,0)</f>
        <v>323.29000000000002</v>
      </c>
      <c r="G49" s="68">
        <f>IFERROR('Data Sheet'!F59,0)</f>
        <v>560.34</v>
      </c>
      <c r="H49" s="68">
        <f>IFERROR('Data Sheet'!G59,0)</f>
        <v>533.42999999999995</v>
      </c>
      <c r="I49" s="68">
        <f>IFERROR('Data Sheet'!H59,0)</f>
        <v>1319.6</v>
      </c>
      <c r="J49" s="68">
        <f>IFERROR('Data Sheet'!I59,0)</f>
        <v>1118.5</v>
      </c>
      <c r="K49" s="68">
        <f>IFERROR('Data Sheet'!J59,0)</f>
        <v>1093.1199999999999</v>
      </c>
      <c r="L49" s="68">
        <f>IFERROR('Data Sheet'!K59,0)</f>
        <v>1586.88</v>
      </c>
    </row>
    <row r="50" spans="2:13">
      <c r="B50" t="s">
        <v>136</v>
      </c>
      <c r="C50" s="68">
        <f>IFERROR('Data Sheet'!B60,0)</f>
        <v>3149.25</v>
      </c>
      <c r="D50" s="68">
        <f>IFERROR('Data Sheet'!C60,0)</f>
        <v>3787.03</v>
      </c>
      <c r="E50" s="68">
        <f>IFERROR('Data Sheet'!D60,0)</f>
        <v>3753.97</v>
      </c>
      <c r="F50" s="68">
        <f>IFERROR('Data Sheet'!E60,0)</f>
        <v>3710.92</v>
      </c>
      <c r="G50" s="68">
        <f>IFERROR('Data Sheet'!F60,0)</f>
        <v>4240.96</v>
      </c>
      <c r="H50" s="68">
        <f>IFERROR('Data Sheet'!G60,0)</f>
        <v>4819.82</v>
      </c>
      <c r="I50" s="68">
        <f>IFERROR('Data Sheet'!H60,0)</f>
        <v>5458.69</v>
      </c>
      <c r="J50" s="68">
        <f>IFERROR('Data Sheet'!I60,0)</f>
        <v>4889.3100000000004</v>
      </c>
      <c r="K50" s="68">
        <f>IFERROR('Data Sheet'!J60,0)</f>
        <v>6455.93</v>
      </c>
      <c r="L50" s="68">
        <f>IFERROR('Data Sheet'!K60,0)</f>
        <v>7559.99</v>
      </c>
    </row>
    <row r="51" spans="2:13">
      <c r="B51" s="72" t="s">
        <v>137</v>
      </c>
      <c r="C51" s="75">
        <f>IFERROR('Data Sheet'!B61,0)</f>
        <v>6784.5</v>
      </c>
      <c r="D51" s="75">
        <f>IFERROR('Data Sheet'!C61,0)</f>
        <v>8075.4</v>
      </c>
      <c r="E51" s="75">
        <f>IFERROR('Data Sheet'!D61,0)</f>
        <v>8914.5</v>
      </c>
      <c r="F51" s="75">
        <f>IFERROR('Data Sheet'!E61,0)</f>
        <v>10559.03</v>
      </c>
      <c r="G51" s="75">
        <f>IFERROR('Data Sheet'!F61,0)</f>
        <v>12405.19</v>
      </c>
      <c r="H51" s="75">
        <f>IFERROR('Data Sheet'!G61,0)</f>
        <v>13763.48</v>
      </c>
      <c r="I51" s="75">
        <f>IFERROR('Data Sheet'!H61,0)</f>
        <v>16248.84</v>
      </c>
      <c r="J51" s="75">
        <f>IFERROR('Data Sheet'!I61,0)</f>
        <v>16137.97</v>
      </c>
      <c r="K51" s="75">
        <f>IFERROR('Data Sheet'!J61,0)</f>
        <v>20355.34</v>
      </c>
      <c r="L51" s="75">
        <f>IFERROR('Data Sheet'!K61,0)</f>
        <v>22958.43</v>
      </c>
      <c r="M51" s="2"/>
    </row>
    <row r="53" spans="2:13">
      <c r="B53" t="s">
        <v>138</v>
      </c>
      <c r="C53" s="68">
        <f>IFERROR('Data Sheet'!B62,0)</f>
        <v>2440.9699999999998</v>
      </c>
      <c r="D53" s="68">
        <f>IFERROR('Data Sheet'!C62,0)</f>
        <v>2561.58</v>
      </c>
      <c r="E53" s="68">
        <f>IFERROR('Data Sheet'!D62,0)</f>
        <v>2660.04</v>
      </c>
      <c r="F53" s="68">
        <f>IFERROR('Data Sheet'!E62,0)</f>
        <v>3416.35</v>
      </c>
      <c r="G53" s="68">
        <f>IFERROR('Data Sheet'!F62,0)</f>
        <v>3303.74</v>
      </c>
      <c r="H53" s="68">
        <f>IFERROR('Data Sheet'!G62,0)</f>
        <v>3732.24</v>
      </c>
      <c r="I53" s="68">
        <f>IFERROR('Data Sheet'!H62,0)</f>
        <v>6496.56</v>
      </c>
      <c r="J53" s="68">
        <f>IFERROR('Data Sheet'!I62,0)</f>
        <v>6272.31</v>
      </c>
      <c r="K53" s="68">
        <f>IFERROR('Data Sheet'!J62,0)</f>
        <v>5858.52</v>
      </c>
      <c r="L53" s="68">
        <f>IFERROR('Data Sheet'!K62,0)</f>
        <v>5519.06</v>
      </c>
    </row>
    <row r="54" spans="2:13">
      <c r="B54" t="s">
        <v>139</v>
      </c>
      <c r="C54" s="68">
        <f>IFERROR('Data Sheet'!B63,0)</f>
        <v>59.21</v>
      </c>
      <c r="D54" s="68">
        <f>IFERROR('Data Sheet'!C63,0)</f>
        <v>71.599999999999994</v>
      </c>
      <c r="E54" s="68">
        <f>IFERROR('Data Sheet'!D63,0)</f>
        <v>196</v>
      </c>
      <c r="F54" s="68">
        <f>IFERROR('Data Sheet'!E63,0)</f>
        <v>106.59</v>
      </c>
      <c r="G54" s="68">
        <f>IFERROR('Data Sheet'!F63,0)</f>
        <v>257.54000000000002</v>
      </c>
      <c r="H54" s="68">
        <f>IFERROR('Data Sheet'!G63,0)</f>
        <v>1405.11</v>
      </c>
      <c r="I54" s="68">
        <f>IFERROR('Data Sheet'!H63,0)</f>
        <v>209.67</v>
      </c>
      <c r="J54" s="68">
        <f>IFERROR('Data Sheet'!I63,0)</f>
        <v>140.24</v>
      </c>
      <c r="K54" s="68">
        <f>IFERROR('Data Sheet'!J63,0)</f>
        <v>182.98</v>
      </c>
      <c r="L54" s="68">
        <f>IFERROR('Data Sheet'!K63,0)</f>
        <v>426.43</v>
      </c>
    </row>
    <row r="55" spans="2:13">
      <c r="B55" t="s">
        <v>140</v>
      </c>
      <c r="C55" s="68">
        <f>IFERROR('Data Sheet'!B64,0)</f>
        <v>295.68</v>
      </c>
      <c r="D55" s="68">
        <f>IFERROR('Data Sheet'!C64,0)</f>
        <v>1423.55</v>
      </c>
      <c r="E55" s="68">
        <f>IFERROR('Data Sheet'!D64,0)</f>
        <v>1587.79</v>
      </c>
      <c r="F55" s="68">
        <f>IFERROR('Data Sheet'!E64,0)</f>
        <v>2712.13</v>
      </c>
      <c r="G55" s="68">
        <f>IFERROR('Data Sheet'!F64,0)</f>
        <v>2651.99</v>
      </c>
      <c r="H55" s="68">
        <f>IFERROR('Data Sheet'!G64,0)</f>
        <v>2140.6999999999998</v>
      </c>
      <c r="I55" s="68">
        <f>IFERROR('Data Sheet'!H64,0)</f>
        <v>2568.58</v>
      </c>
      <c r="J55" s="68">
        <f>IFERROR('Data Sheet'!I64,0)</f>
        <v>2018.85</v>
      </c>
      <c r="K55" s="68">
        <f>IFERROR('Data Sheet'!J64,0)</f>
        <v>4736.8</v>
      </c>
      <c r="L55" s="68">
        <f>IFERROR('Data Sheet'!K64,0)</f>
        <v>3247.53</v>
      </c>
    </row>
    <row r="56" spans="2:13">
      <c r="B56" t="s">
        <v>141</v>
      </c>
      <c r="C56" s="68">
        <f>IFERROR('Data Sheet'!B65-SUM('Data Sheet'!B67:B69),0)</f>
        <v>440.77999999999975</v>
      </c>
      <c r="D56" s="68">
        <f>IFERROR('Data Sheet'!C65-SUM('Data Sheet'!C67:C69),0)</f>
        <v>609.51000000000022</v>
      </c>
      <c r="E56" s="68">
        <f>IFERROR('Data Sheet'!D65-SUM('Data Sheet'!D67:D69),0)</f>
        <v>825.69</v>
      </c>
      <c r="F56" s="68">
        <f>IFERROR('Data Sheet'!E65-SUM('Data Sheet'!E67:E69),0)</f>
        <v>714.68000000000029</v>
      </c>
      <c r="G56" s="68">
        <f>IFERROR('Data Sheet'!F65-SUM('Data Sheet'!F67:F69),0)</f>
        <v>1317.17</v>
      </c>
      <c r="H56" s="68">
        <f>IFERROR('Data Sheet'!G65-SUM('Data Sheet'!G67:G69),0)</f>
        <v>1691.8400000000001</v>
      </c>
      <c r="I56" s="68">
        <f>IFERROR('Data Sheet'!H65-SUM('Data Sheet'!H67:H69),0)</f>
        <v>1471.9599999999991</v>
      </c>
      <c r="J56" s="68">
        <f>IFERROR('Data Sheet'!I65-SUM('Data Sheet'!I67:I69),0)</f>
        <v>1738.71</v>
      </c>
      <c r="K56" s="68">
        <f>IFERROR('Data Sheet'!J65-SUM('Data Sheet'!J67:J69),0)</f>
        <v>2565.5200000000004</v>
      </c>
      <c r="L56" s="68">
        <f>IFERROR('Data Sheet'!K65-SUM('Data Sheet'!K67:K69),0)</f>
        <v>2876.66</v>
      </c>
    </row>
    <row r="57" spans="2:13">
      <c r="B57" s="72" t="s">
        <v>142</v>
      </c>
      <c r="C57" s="75">
        <f>SUM(C53:C56)</f>
        <v>3236.6399999999994</v>
      </c>
      <c r="D57" s="75">
        <f t="shared" ref="D57:L57" si="18">SUM(D53:D56)</f>
        <v>4666.24</v>
      </c>
      <c r="E57" s="75">
        <f t="shared" si="18"/>
        <v>5269.52</v>
      </c>
      <c r="F57" s="75">
        <f t="shared" si="18"/>
        <v>6949.75</v>
      </c>
      <c r="G57" s="75">
        <f t="shared" si="18"/>
        <v>7530.44</v>
      </c>
      <c r="H57" s="75">
        <f t="shared" si="18"/>
        <v>8969.89</v>
      </c>
      <c r="I57" s="75">
        <f t="shared" si="18"/>
        <v>10746.77</v>
      </c>
      <c r="J57" s="75">
        <f t="shared" si="18"/>
        <v>10170.11</v>
      </c>
      <c r="K57" s="75">
        <f t="shared" si="18"/>
        <v>13343.82</v>
      </c>
      <c r="L57" s="75">
        <f t="shared" si="18"/>
        <v>12069.68</v>
      </c>
    </row>
    <row r="58" spans="2:13">
      <c r="B58" s="2"/>
    </row>
    <row r="59" spans="2:13">
      <c r="B59" t="s">
        <v>143</v>
      </c>
      <c r="C59" s="68">
        <f>IFERROR('Data Sheet'!B67,0)</f>
        <v>980.88</v>
      </c>
      <c r="D59" s="68">
        <f>IFERROR('Data Sheet'!C67,0)</f>
        <v>1110.3</v>
      </c>
      <c r="E59" s="68">
        <f>IFERROR('Data Sheet'!D67,0)</f>
        <v>1182.07</v>
      </c>
      <c r="F59" s="68">
        <f>IFERROR('Data Sheet'!E67,0)</f>
        <v>1186.8399999999999</v>
      </c>
      <c r="G59" s="68">
        <f>IFERROR('Data Sheet'!F67,0)</f>
        <v>1446.6</v>
      </c>
      <c r="H59" s="68">
        <f>IFERROR('Data Sheet'!G67,0)</f>
        <v>1730.63</v>
      </c>
      <c r="I59" s="68">
        <f>IFERROR('Data Sheet'!H67,0)</f>
        <v>1907.33</v>
      </c>
      <c r="J59" s="68">
        <f>IFERROR('Data Sheet'!I67,0)</f>
        <v>1795.22</v>
      </c>
      <c r="K59" s="68">
        <f>IFERROR('Data Sheet'!J67,0)</f>
        <v>2602.17</v>
      </c>
      <c r="L59" s="68">
        <f>IFERROR('Data Sheet'!K67,0)</f>
        <v>3871.44</v>
      </c>
    </row>
    <row r="60" spans="2:13">
      <c r="B60" t="s">
        <v>144</v>
      </c>
      <c r="C60" s="68">
        <f>IFERROR('Data Sheet'!B68,0)</f>
        <v>1830.29</v>
      </c>
      <c r="D60" s="68">
        <f>IFERROR('Data Sheet'!C68,0)</f>
        <v>2069.86</v>
      </c>
      <c r="E60" s="68">
        <f>IFERROR('Data Sheet'!D68,0)</f>
        <v>2258.52</v>
      </c>
      <c r="F60" s="68">
        <f>IFERROR('Data Sheet'!E68,0)</f>
        <v>1998.24</v>
      </c>
      <c r="G60" s="68">
        <f>IFERROR('Data Sheet'!F68,0)</f>
        <v>2626.94</v>
      </c>
      <c r="H60" s="68">
        <f>IFERROR('Data Sheet'!G68,0)</f>
        <v>2658.31</v>
      </c>
      <c r="I60" s="68">
        <f>IFERROR('Data Sheet'!H68,0)</f>
        <v>3149.86</v>
      </c>
      <c r="J60" s="68">
        <f>IFERROR('Data Sheet'!I68,0)</f>
        <v>3389.81</v>
      </c>
      <c r="K60" s="68">
        <f>IFERROR('Data Sheet'!J68,0)</f>
        <v>3798.6</v>
      </c>
      <c r="L60" s="68">
        <f>IFERROR('Data Sheet'!K68,0)</f>
        <v>6152.98</v>
      </c>
    </row>
    <row r="61" spans="2:13">
      <c r="B61" t="s">
        <v>145</v>
      </c>
      <c r="C61" s="68">
        <f>IFERROR('Data Sheet'!B69,0)</f>
        <v>736.69</v>
      </c>
      <c r="D61" s="68">
        <f>IFERROR('Data Sheet'!C69,0)</f>
        <v>229</v>
      </c>
      <c r="E61" s="68">
        <f>IFERROR('Data Sheet'!D69,0)</f>
        <v>204.39</v>
      </c>
      <c r="F61" s="68">
        <f>IFERROR('Data Sheet'!E69,0)</f>
        <v>424.2</v>
      </c>
      <c r="G61" s="68">
        <f>IFERROR('Data Sheet'!F69,0)</f>
        <v>801.21</v>
      </c>
      <c r="H61" s="68">
        <f>IFERROR('Data Sheet'!G69,0)</f>
        <v>404.65</v>
      </c>
      <c r="I61" s="68">
        <f>IFERROR('Data Sheet'!H69,0)</f>
        <v>444.88</v>
      </c>
      <c r="J61" s="68">
        <f>IFERROR('Data Sheet'!I69,0)</f>
        <v>782.83</v>
      </c>
      <c r="K61" s="68">
        <f>IFERROR('Data Sheet'!J69,0)</f>
        <v>610.75</v>
      </c>
      <c r="L61" s="68">
        <f>IFERROR('Data Sheet'!K69,0)</f>
        <v>864.33</v>
      </c>
    </row>
    <row r="62" spans="2:13">
      <c r="B62" s="72" t="s">
        <v>146</v>
      </c>
      <c r="C62" s="75">
        <f>IFERROR(SUM(C59:C61),0)</f>
        <v>3547.86</v>
      </c>
      <c r="D62" s="75">
        <f t="shared" ref="D62:L62" si="19">IFERROR(SUM(D59:D61),0)</f>
        <v>3409.16</v>
      </c>
      <c r="E62" s="75">
        <f t="shared" si="19"/>
        <v>3644.98</v>
      </c>
      <c r="F62" s="75">
        <f t="shared" si="19"/>
        <v>3609.2799999999997</v>
      </c>
      <c r="G62" s="75">
        <f t="shared" si="19"/>
        <v>4874.75</v>
      </c>
      <c r="H62" s="75">
        <f t="shared" si="19"/>
        <v>4793.59</v>
      </c>
      <c r="I62" s="75">
        <f t="shared" si="19"/>
        <v>5502.0700000000006</v>
      </c>
      <c r="J62" s="75">
        <f t="shared" si="19"/>
        <v>5967.86</v>
      </c>
      <c r="K62" s="75">
        <f t="shared" si="19"/>
        <v>7011.52</v>
      </c>
      <c r="L62" s="75">
        <f t="shared" si="19"/>
        <v>10888.75</v>
      </c>
    </row>
    <row r="64" spans="2:13">
      <c r="B64" s="72" t="s">
        <v>147</v>
      </c>
      <c r="C64" s="75">
        <f>IFERROR(C62+C57,0)</f>
        <v>6784.5</v>
      </c>
      <c r="D64" s="75">
        <f t="shared" ref="D64:L64" si="20">IFERROR(D62+D57,0)</f>
        <v>8075.4</v>
      </c>
      <c r="E64" s="75">
        <f t="shared" si="20"/>
        <v>8914.5</v>
      </c>
      <c r="F64" s="75">
        <f t="shared" si="20"/>
        <v>10559.029999999999</v>
      </c>
      <c r="G64" s="75">
        <f t="shared" si="20"/>
        <v>12405.189999999999</v>
      </c>
      <c r="H64" s="75">
        <f t="shared" si="20"/>
        <v>13763.48</v>
      </c>
      <c r="I64" s="75">
        <f t="shared" si="20"/>
        <v>16248.84</v>
      </c>
      <c r="J64" s="75">
        <f t="shared" si="20"/>
        <v>16137.970000000001</v>
      </c>
      <c r="K64" s="75">
        <f t="shared" si="20"/>
        <v>20355.34</v>
      </c>
      <c r="L64" s="75">
        <f t="shared" si="20"/>
        <v>22958.43</v>
      </c>
    </row>
    <row r="66" spans="1:13">
      <c r="B66" s="77" t="s">
        <v>148</v>
      </c>
      <c r="C66" s="77" t="b">
        <f>C64=C51</f>
        <v>1</v>
      </c>
      <c r="D66" s="77" t="b">
        <f t="shared" ref="D66:L66" si="21">D64=D51</f>
        <v>1</v>
      </c>
      <c r="E66" s="77" t="b">
        <f t="shared" si="21"/>
        <v>1</v>
      </c>
      <c r="F66" s="77" t="b">
        <f t="shared" si="21"/>
        <v>1</v>
      </c>
      <c r="G66" s="77" t="b">
        <f t="shared" si="21"/>
        <v>1</v>
      </c>
      <c r="H66" s="77" t="b">
        <f t="shared" si="21"/>
        <v>1</v>
      </c>
      <c r="I66" s="77" t="b">
        <f t="shared" si="21"/>
        <v>1</v>
      </c>
      <c r="J66" s="77" t="b">
        <f t="shared" si="21"/>
        <v>1</v>
      </c>
      <c r="K66" s="77" t="b">
        <f t="shared" si="21"/>
        <v>1</v>
      </c>
      <c r="L66" s="77" t="b">
        <f t="shared" si="21"/>
        <v>1</v>
      </c>
    </row>
    <row r="68" spans="1:13">
      <c r="A68" t="s">
        <v>103</v>
      </c>
      <c r="B68" s="67" t="s">
        <v>149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spans="1:13">
      <c r="B69" s="2"/>
    </row>
    <row r="70" spans="1:13">
      <c r="B70" t="s">
        <v>150</v>
      </c>
      <c r="C70" s="68">
        <f>'Data Sheet'!B82</f>
        <v>1186.79</v>
      </c>
      <c r="D70" s="68">
        <f>'Data Sheet'!C82</f>
        <v>1402.03</v>
      </c>
      <c r="E70" s="68">
        <f>'Data Sheet'!D82</f>
        <v>1187.69</v>
      </c>
      <c r="F70" s="68">
        <f>'Data Sheet'!E82</f>
        <v>2242.9499999999998</v>
      </c>
      <c r="G70" s="68">
        <f>'Data Sheet'!F82</f>
        <v>1527.33</v>
      </c>
      <c r="H70" s="68">
        <f>'Data Sheet'!G82</f>
        <v>2113.44</v>
      </c>
      <c r="I70" s="68">
        <f>'Data Sheet'!H82</f>
        <v>2469.54</v>
      </c>
      <c r="J70" s="68">
        <f>'Data Sheet'!I82</f>
        <v>3038.15</v>
      </c>
      <c r="K70" s="68">
        <f>'Data Sheet'!J82</f>
        <v>3683.35</v>
      </c>
      <c r="L70" s="68">
        <f>'Data Sheet'!K82</f>
        <v>986.49</v>
      </c>
    </row>
    <row r="72" spans="1:13">
      <c r="B72" t="s">
        <v>151</v>
      </c>
      <c r="C72" s="68">
        <f>'Data Sheet'!B83</f>
        <v>-463.2</v>
      </c>
      <c r="D72" s="68">
        <f>'Data Sheet'!C83</f>
        <v>-585.99</v>
      </c>
      <c r="E72" s="68">
        <f>'Data Sheet'!D83</f>
        <v>-464.99</v>
      </c>
      <c r="F72" s="68">
        <f>'Data Sheet'!E83</f>
        <v>-866.21</v>
      </c>
      <c r="G72" s="68">
        <f>'Data Sheet'!F83</f>
        <v>-681.11</v>
      </c>
      <c r="H72" s="68">
        <f>'Data Sheet'!G83</f>
        <v>-1556.14</v>
      </c>
      <c r="I72" s="68">
        <f>'Data Sheet'!H83</f>
        <v>-917.79</v>
      </c>
      <c r="J72" s="68">
        <f>'Data Sheet'!I83</f>
        <v>-517.91</v>
      </c>
      <c r="K72" s="68">
        <f>'Data Sheet'!J83</f>
        <v>-540.54</v>
      </c>
      <c r="L72" s="68">
        <f>'Data Sheet'!K83</f>
        <v>-316.75</v>
      </c>
    </row>
    <row r="74" spans="1:13">
      <c r="B74" t="s">
        <v>152</v>
      </c>
      <c r="C74" s="68">
        <f>'Data Sheet'!B84</f>
        <v>-601</v>
      </c>
      <c r="D74" s="68">
        <f>'Data Sheet'!C84</f>
        <v>-625.91</v>
      </c>
      <c r="E74" s="68">
        <f>'Data Sheet'!D84</f>
        <v>-576.09</v>
      </c>
      <c r="F74" s="68">
        <f>'Data Sheet'!E84</f>
        <v>-848.98</v>
      </c>
      <c r="G74" s="68">
        <f>'Data Sheet'!F84</f>
        <v>-756.43</v>
      </c>
      <c r="H74" s="68">
        <f>'Data Sheet'!G84</f>
        <v>-1379.14</v>
      </c>
      <c r="I74" s="68">
        <f>'Data Sheet'!H84</f>
        <v>-1117.46</v>
      </c>
      <c r="J74" s="68">
        <f>'Data Sheet'!I84</f>
        <v>-2871.46</v>
      </c>
      <c r="K74" s="68">
        <f>'Data Sheet'!J84</f>
        <v>-650.4</v>
      </c>
      <c r="L74" s="68">
        <f>'Data Sheet'!K84</f>
        <v>-1807.61</v>
      </c>
    </row>
    <row r="76" spans="1:13">
      <c r="B76" s="2" t="s">
        <v>153</v>
      </c>
      <c r="C76" s="78">
        <f t="shared" ref="C76:L76" si="22">IFERROR(C70+C72+C74,0)</f>
        <v>122.58999999999992</v>
      </c>
      <c r="D76" s="78">
        <f t="shared" si="22"/>
        <v>190.13</v>
      </c>
      <c r="E76" s="78">
        <f t="shared" si="22"/>
        <v>146.61000000000001</v>
      </c>
      <c r="F76" s="78">
        <f t="shared" si="22"/>
        <v>527.75999999999976</v>
      </c>
      <c r="G76" s="78">
        <f t="shared" si="22"/>
        <v>89.789999999999964</v>
      </c>
      <c r="H76" s="78">
        <f t="shared" si="22"/>
        <v>-821.84000000000015</v>
      </c>
      <c r="I76" s="78">
        <f t="shared" si="22"/>
        <v>434.28999999999996</v>
      </c>
      <c r="J76" s="78">
        <f t="shared" si="22"/>
        <v>-351.2199999999998</v>
      </c>
      <c r="K76" s="78">
        <f t="shared" si="22"/>
        <v>2492.41</v>
      </c>
      <c r="L76" s="78">
        <f t="shared" si="22"/>
        <v>-1137.8699999999999</v>
      </c>
    </row>
  </sheetData>
  <mergeCells count="1">
    <mergeCell ref="B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DCF&gt;</vt:lpstr>
      <vt:lpstr>WACC</vt:lpstr>
      <vt:lpstr>Data&gt;</vt:lpstr>
      <vt:lpstr>Beta - Regression</vt:lpstr>
      <vt:lpstr>Beta - Comps</vt:lpstr>
      <vt:lpstr>Rm</vt:lpstr>
      <vt:lpstr>Intrisic Growth</vt:lpstr>
      <vt:lpstr>DCF</vt:lpstr>
      <vt:lpstr>HistoricalFS</vt:lpstr>
      <vt:lpstr>Data Room&gt;</vt:lpstr>
      <vt:lpstr>Data Sheet</vt:lpstr>
      <vt:lpstr>Raw FS</vt:lpstr>
      <vt:lpstr>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Valuation School</dc:creator>
  <cp:lastModifiedBy>Sarda, Samiksha</cp:lastModifiedBy>
  <cp:lastPrinted>2023-02-21T19:04:51Z</cp:lastPrinted>
  <dcterms:created xsi:type="dcterms:W3CDTF">2023-02-06T14:53:36Z</dcterms:created>
  <dcterms:modified xsi:type="dcterms:W3CDTF">2025-02-19T00:43:53Z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{1EE99B22-FCBF-4602-91E6-C0830BFCF47D}</vt:lpwstr>
  </property>
</Properties>
</file>