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 codeName="ThisWorkbook"/>
  <xr:revisionPtr revIDLastSave="0" documentId="13_ncr:1_{36A54CA1-7CE8-457F-9F4F-EF03DC072793}" xr6:coauthVersionLast="47" xr6:coauthVersionMax="47" xr10:uidLastSave="{00000000-0000-0000-0000-000000000000}"/>
  <bookViews>
    <workbookView xWindow="-8310" yWindow="-21720" windowWidth="51840" windowHeight="21120" activeTab="2" xr2:uid="{00000000-000D-0000-FFFF-FFFF00000000}"/>
  </bookViews>
  <sheets>
    <sheet name="Weekly Plan" sheetId="2" r:id="rId1"/>
    <sheet name="Routine" sheetId="9" r:id="rId2"/>
    <sheet name="Incomes-Expenditures" sheetId="12" r:id="rId3"/>
    <sheet name="Meals" sheetId="4" r:id="rId4"/>
    <sheet name="Cooking Recipes" sheetId="5" r:id="rId5"/>
    <sheet name="Food Nutrients" sheetId="6" r:id="rId6"/>
    <sheet name="Health" sheetId="7" r:id="rId7"/>
    <sheet name="Activities" sheetId="8" r:id="rId8"/>
    <sheet name="Learning" sheetId="10" r:id="rId9"/>
    <sheet name="Calendar" sheetId="11" r:id="rId10"/>
    <sheet name="IG Saves" sheetId="13" r:id="rId11"/>
    <sheet name="Sheet1" sheetId="3" r:id="rId12"/>
  </sheets>
  <externalReferences>
    <externalReference r:id="rId13"/>
    <externalReference r:id="rId14"/>
  </externalReferences>
  <definedNames>
    <definedName name="Calendar10Month">Calendar!$B$137</definedName>
    <definedName name="Calendar10MonthOption">MATCH(Calendar10Month,Months,0)</definedName>
    <definedName name="Calendar10Year">Calendar!$H$137</definedName>
    <definedName name="Calendar11Month">Calendar!$B$152</definedName>
    <definedName name="Calendar11MonthOption">MATCH(Calendar11Month,Months,0)</definedName>
    <definedName name="Calendar11Year">Calendar!$H$152</definedName>
    <definedName name="Calendar12Month">Calendar!$B$167</definedName>
    <definedName name="Calendar12MonthOption">MATCH(Calendar12Month,Months,0)</definedName>
    <definedName name="Calendar12Year">Calendar!$H$167</definedName>
    <definedName name="Calendar1Month">Calendar!$B$2</definedName>
    <definedName name="Calendar1MonthOption">MATCH(Calendar1Month,Months,0)</definedName>
    <definedName name="Calendar1Year">Calendar!$H$2</definedName>
    <definedName name="Calendar2Month">Calendar!$B$17</definedName>
    <definedName name="Calendar2MonthOption">MATCH(Calendar2Month,Months,0)</definedName>
    <definedName name="Calendar2Year">Calendar!$H$17</definedName>
    <definedName name="Calendar3Month">Calendar!$B$32</definedName>
    <definedName name="Calendar3MonthOption">MATCH(Calendar3Month,Months,0)</definedName>
    <definedName name="Calendar3Year">Calendar!$H$32</definedName>
    <definedName name="Calendar4Month">Calendar!$B$47</definedName>
    <definedName name="Calendar4MonthOption">MATCH(Calendar4Month,Months,0)</definedName>
    <definedName name="Calendar4Year">Calendar!$H$47</definedName>
    <definedName name="Calendar5Month">Calendar!$B$62</definedName>
    <definedName name="Calendar5MonthOption">MATCH(Calendar5Month,Months,0)</definedName>
    <definedName name="Calendar5Year">Calendar!$H$62</definedName>
    <definedName name="Calendar6Month">Calendar!$B$77</definedName>
    <definedName name="Calendar6MonthOption">MATCH(Calendar6Month,Months,0)</definedName>
    <definedName name="Calendar6Year">Calendar!$H$77</definedName>
    <definedName name="Calendar7Month">Calendar!$B$92</definedName>
    <definedName name="Calendar7MonthOption">MATCH(Calendar7Month,Months,0)</definedName>
    <definedName name="Calendar7Year">Calendar!$H$92</definedName>
    <definedName name="Calendar8Month">Calendar!$B$107</definedName>
    <definedName name="Calendar8MonthOption">MATCH(Calendar8Month,Months,0)</definedName>
    <definedName name="Calendar8Year">Calendar!$H$107</definedName>
    <definedName name="Calendar9Month">Calendar!$B$122</definedName>
    <definedName name="Calendar9MonthOption">MATCH(Calendar9Month,Months,0)</definedName>
    <definedName name="Calendar9Year">Calendar!$H$122</definedName>
    <definedName name="ColumnTitleRegion1..H12.1">Calendar!$B$3</definedName>
    <definedName name="ColumnTitleRegion10..H54.1">Calendar!$B$48</definedName>
    <definedName name="ColumnTitleRegion11..C56.1">Calendar!$B$48</definedName>
    <definedName name="ColumnTitleRegion12..D56.1">Calendar!$D$59</definedName>
    <definedName name="ColumnTitleRegion13..H68.1">Calendar!$B$63</definedName>
    <definedName name="ColumnTitleRegion14..C70.1">Calendar!$B$63</definedName>
    <definedName name="ColumnTitleRegion15..D70.1">Calendar!$D$74</definedName>
    <definedName name="ColumnTitleRegion16..H82.1">Calendar!$B$78</definedName>
    <definedName name="ColumnTitleRegion17..C84.1">Calendar!$B$78</definedName>
    <definedName name="ColumnTitleRegion18..D84.1">Calendar!$D$89</definedName>
    <definedName name="ColumnTitleRegion19..H96.1">Calendar!$B$93</definedName>
    <definedName name="ColumnTitleRegion2..C14.1">Calendar!$B$3</definedName>
    <definedName name="ColumnTitleRegion20..C98.1">Calendar!$B$93</definedName>
    <definedName name="ColumnTitleRegion21..D98.1">Calendar!$D$104</definedName>
    <definedName name="ColumnTitleRegion22..H110.1">Calendar!$B$108</definedName>
    <definedName name="ColumnTitleRegion23..C112.1">Calendar!$B$108</definedName>
    <definedName name="ColumnTitleRegion24..D112.1">Calendar!$D$119</definedName>
    <definedName name="ColumnTitleRegion25..H124.1">Calendar!$B$123</definedName>
    <definedName name="ColumnTitleRegion26..C126.1">Calendar!$B$123</definedName>
    <definedName name="ColumnTitleRegion27..D126.1">Calendar!$D$134</definedName>
    <definedName name="ColumnTitleRegion28..H138.1">Calendar!$B$138</definedName>
    <definedName name="ColumnTitleRegion29..C140.1">Calendar!$B$138</definedName>
    <definedName name="ColumnTitleRegion3..D14.1">Calendar!$D$14</definedName>
    <definedName name="ColumnTitleRegion30..D140.1">Calendar!$D$149</definedName>
    <definedName name="ColumnTitleRegion31..H152.1">Calendar!$B$153</definedName>
    <definedName name="ColumnTitleRegion32..C154.1">Calendar!$B$153</definedName>
    <definedName name="ColumnTitleRegion33..D154.1">Calendar!$D$164</definedName>
    <definedName name="ColumnTitleRegion34..H166.1">Calendar!$B$168</definedName>
    <definedName name="ColumnTitleRegion35..C168.1">Calendar!$B$168</definedName>
    <definedName name="ColumnTitleRegion36..D168.1">Calendar!$D$179</definedName>
    <definedName name="ColumnTitleRegion4..H26.1">Calendar!$B$18</definedName>
    <definedName name="ColumnTitleRegion5..C28.1">Calendar!$B$18</definedName>
    <definedName name="ColumnTitleRegion6..D28.1">Calendar!$D$29</definedName>
    <definedName name="ColumnTitleRegion7..H40.1">Calendar!$B$33</definedName>
    <definedName name="ColumnTitleRegion8..C42.1">Calendar!$B$33</definedName>
    <definedName name="ColumnTitleRegion9..D42.1">Calendar!$D$44</definedName>
    <definedName name="Days">{0,1,2,3,4,5,6}</definedName>
    <definedName name="GroceryTotal">[1]calculations!$L$4</definedName>
    <definedName name="MonthlyChart_Data1">OFFSET('[2]Planned expenses'!$C$37,0,0,1,MonthsWithActual)</definedName>
    <definedName name="Months">{"January","February","March","April","May","June","July","August","September","October","November","December"}</definedName>
    <definedName name="MonthsWithActual">COUNTIF('[2]Actual expenses'!$C$37:$N$37,"&lt;&gt;"&amp;0)</definedName>
    <definedName name="_xlnm.Print_Area" localSheetId="9">Calendar!$B$2:$I$180</definedName>
    <definedName name="_xlnm.Print_Titles" localSheetId="7">Activities!$4:$4</definedName>
    <definedName name="_xlnm.Print_Titles" localSheetId="4">'Cooking Recipes'!$4:$4</definedName>
    <definedName name="_xlnm.Print_Titles" localSheetId="5">'Food Nutrients'!$4:$4</definedName>
    <definedName name="_xlnm.Print_Titles" localSheetId="6">Health!$4:$4</definedName>
    <definedName name="_xlnm.Print_Titles" localSheetId="10">'IG Saves'!$4:$4</definedName>
    <definedName name="_xlnm.Print_Titles" localSheetId="8">Learning!$4:$4</definedName>
    <definedName name="_xlnm.Print_Titles" localSheetId="1">Routine!$4:$4</definedName>
    <definedName name="RowTitleRegion1..J1">'Weekly Plan'!$G$1</definedName>
    <definedName name="RowTitleRegion2..C33">'Weekly Plan'!$B$33</definedName>
    <definedName name="TitleRegion1..N31.1">'Weekly Plan'!$A$2</definedName>
    <definedName name="WeekdayOption">MATCH(WeekStart,Weekdays,0)+10</definedName>
    <definedName name="Weekdays">{"Monday","Tuesday","Wednesday","Thursday","Friday","Saturday","Sunday"}</definedName>
    <definedName name="WeekStart">Calendar!$B$3</definedName>
    <definedName name="WeekStartValue">IF(WeekStart="Monday",2,1)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9" i="12" l="1"/>
  <c r="O9" i="12" s="1"/>
  <c r="E9" i="12"/>
  <c r="F9" i="12"/>
  <c r="G9" i="12"/>
  <c r="H9" i="12"/>
  <c r="I9" i="12"/>
  <c r="J9" i="12"/>
  <c r="K9" i="12"/>
  <c r="L9" i="12"/>
  <c r="M9" i="12"/>
  <c r="C7" i="12" s="1"/>
  <c r="N9" i="12"/>
  <c r="I8" i="10"/>
  <c r="I6" i="10"/>
  <c r="I7" i="10"/>
  <c r="I5" i="10"/>
  <c r="I9" i="13"/>
  <c r="I22" i="13"/>
  <c r="I21" i="13"/>
  <c r="L20" i="13"/>
  <c r="I20" i="13"/>
  <c r="L19" i="13"/>
  <c r="I19" i="13"/>
  <c r="I18" i="13"/>
  <c r="L17" i="13"/>
  <c r="I17" i="13"/>
  <c r="L16" i="13"/>
  <c r="I16" i="13"/>
  <c r="I15" i="13"/>
  <c r="L14" i="13"/>
  <c r="I14" i="13"/>
  <c r="L13" i="13"/>
  <c r="I13" i="13"/>
  <c r="I12" i="13"/>
  <c r="L11" i="13"/>
  <c r="I11" i="13"/>
  <c r="L10" i="13"/>
  <c r="I10" i="13"/>
  <c r="L8" i="13"/>
  <c r="I8" i="13"/>
  <c r="L7" i="13"/>
  <c r="I7" i="13"/>
  <c r="I6" i="13"/>
  <c r="L5" i="13"/>
  <c r="I5" i="13"/>
  <c r="L4" i="13"/>
  <c r="L1" i="13"/>
  <c r="J29" i="12"/>
  <c r="D10" i="12"/>
  <c r="E10" i="12"/>
  <c r="E7" i="12" s="1"/>
  <c r="E38" i="12" s="1"/>
  <c r="F10" i="12"/>
  <c r="F7" i="12" s="1"/>
  <c r="G10" i="12"/>
  <c r="G7" i="12" s="1"/>
  <c r="G38" i="12" s="1"/>
  <c r="H10" i="12"/>
  <c r="H7" i="12" s="1"/>
  <c r="I10" i="12"/>
  <c r="I7" i="12" s="1"/>
  <c r="J10" i="12"/>
  <c r="J7" i="12" s="1"/>
  <c r="K10" i="12"/>
  <c r="K7" i="12" s="1"/>
  <c r="K38" i="12" s="1"/>
  <c r="L10" i="12"/>
  <c r="L7" i="12" s="1"/>
  <c r="M10" i="12"/>
  <c r="N10" i="12"/>
  <c r="N7" i="12" s="1"/>
  <c r="D11" i="12"/>
  <c r="O11" i="12" s="1"/>
  <c r="E11" i="12"/>
  <c r="F11" i="12"/>
  <c r="G11" i="12"/>
  <c r="H11" i="12"/>
  <c r="I11" i="12"/>
  <c r="J11" i="12"/>
  <c r="K11" i="12"/>
  <c r="L11" i="12"/>
  <c r="M11" i="12"/>
  <c r="N11" i="12"/>
  <c r="C15" i="12"/>
  <c r="D15" i="12"/>
  <c r="E15" i="12"/>
  <c r="E13" i="12" s="1"/>
  <c r="F15" i="12"/>
  <c r="F13" i="12" s="1"/>
  <c r="G15" i="12"/>
  <c r="G13" i="12" s="1"/>
  <c r="H15" i="12"/>
  <c r="H13" i="12" s="1"/>
  <c r="I15" i="12"/>
  <c r="I13" i="12" s="1"/>
  <c r="J15" i="12"/>
  <c r="K15" i="12"/>
  <c r="K13" i="12" s="1"/>
  <c r="L15" i="12"/>
  <c r="L13" i="12" s="1"/>
  <c r="M15" i="12"/>
  <c r="N15" i="12"/>
  <c r="C16" i="12"/>
  <c r="O16" i="12" s="1"/>
  <c r="D16" i="12"/>
  <c r="E16" i="12"/>
  <c r="F16" i="12"/>
  <c r="G16" i="12"/>
  <c r="H16" i="12"/>
  <c r="I16" i="12"/>
  <c r="J16" i="12"/>
  <c r="K16" i="12"/>
  <c r="L16" i="12"/>
  <c r="M16" i="12"/>
  <c r="N16" i="12"/>
  <c r="C17" i="12"/>
  <c r="O17" i="12" s="1"/>
  <c r="D17" i="12"/>
  <c r="E17" i="12"/>
  <c r="F17" i="12"/>
  <c r="G17" i="12"/>
  <c r="H17" i="12"/>
  <c r="I17" i="12"/>
  <c r="J17" i="12"/>
  <c r="K17" i="12"/>
  <c r="L17" i="12"/>
  <c r="M17" i="12"/>
  <c r="N17" i="12"/>
  <c r="C18" i="12"/>
  <c r="O18" i="12" s="1"/>
  <c r="D18" i="12"/>
  <c r="E18" i="12"/>
  <c r="F18" i="12"/>
  <c r="G18" i="12"/>
  <c r="H18" i="12"/>
  <c r="I18" i="12"/>
  <c r="J18" i="12"/>
  <c r="K18" i="12"/>
  <c r="L18" i="12"/>
  <c r="M18" i="12"/>
  <c r="N18" i="12"/>
  <c r="C19" i="12"/>
  <c r="O19" i="12" s="1"/>
  <c r="D19" i="12"/>
  <c r="E19" i="12"/>
  <c r="F19" i="12"/>
  <c r="G19" i="12"/>
  <c r="H19" i="12"/>
  <c r="I19" i="12"/>
  <c r="J19" i="12"/>
  <c r="K19" i="12"/>
  <c r="L19" i="12"/>
  <c r="M19" i="12"/>
  <c r="N19" i="12"/>
  <c r="C20" i="12"/>
  <c r="O20" i="12" s="1"/>
  <c r="D20" i="12"/>
  <c r="E20" i="12"/>
  <c r="F20" i="12"/>
  <c r="G20" i="12"/>
  <c r="H20" i="12"/>
  <c r="I20" i="12"/>
  <c r="J20" i="12"/>
  <c r="K20" i="12"/>
  <c r="L20" i="12"/>
  <c r="M20" i="12"/>
  <c r="N20" i="12"/>
  <c r="C21" i="12"/>
  <c r="O21" i="12" s="1"/>
  <c r="D21" i="12"/>
  <c r="E21" i="12"/>
  <c r="F21" i="12"/>
  <c r="G21" i="12"/>
  <c r="H21" i="12"/>
  <c r="I21" i="12"/>
  <c r="J21" i="12"/>
  <c r="K21" i="12"/>
  <c r="L21" i="12"/>
  <c r="M21" i="12"/>
  <c r="N21" i="12"/>
  <c r="C22" i="12"/>
  <c r="O22" i="12" s="1"/>
  <c r="D22" i="12"/>
  <c r="E22" i="12"/>
  <c r="F22" i="12"/>
  <c r="G22" i="12"/>
  <c r="H22" i="12"/>
  <c r="I22" i="12"/>
  <c r="J22" i="12"/>
  <c r="K22" i="12"/>
  <c r="L22" i="12"/>
  <c r="M22" i="12"/>
  <c r="N22" i="12"/>
  <c r="C26" i="12"/>
  <c r="O26" i="12" s="1"/>
  <c r="D26" i="12"/>
  <c r="E26" i="12"/>
  <c r="E24" i="12" s="1"/>
  <c r="F26" i="12"/>
  <c r="F24" i="12" s="1"/>
  <c r="G26" i="12"/>
  <c r="G24" i="12" s="1"/>
  <c r="H26" i="12"/>
  <c r="H24" i="12" s="1"/>
  <c r="I26" i="12"/>
  <c r="I24" i="12" s="1"/>
  <c r="J26" i="12"/>
  <c r="J24" i="12" s="1"/>
  <c r="K26" i="12"/>
  <c r="K24" i="12" s="1"/>
  <c r="L26" i="12"/>
  <c r="L24" i="12" s="1"/>
  <c r="M26" i="12"/>
  <c r="M24" i="12" s="1"/>
  <c r="N26" i="12"/>
  <c r="N24" i="12" s="1"/>
  <c r="C27" i="12"/>
  <c r="O27" i="12" s="1"/>
  <c r="D27" i="12"/>
  <c r="E27" i="12"/>
  <c r="F27" i="12"/>
  <c r="G27" i="12"/>
  <c r="H27" i="12"/>
  <c r="I27" i="12"/>
  <c r="J27" i="12"/>
  <c r="K27" i="12"/>
  <c r="L27" i="12"/>
  <c r="M27" i="12"/>
  <c r="N27" i="12"/>
  <c r="C28" i="12"/>
  <c r="O28" i="12" s="1"/>
  <c r="D28" i="12"/>
  <c r="E28" i="12"/>
  <c r="F28" i="12"/>
  <c r="G28" i="12"/>
  <c r="H28" i="12"/>
  <c r="I28" i="12"/>
  <c r="J28" i="12"/>
  <c r="K28" i="12"/>
  <c r="L28" i="12"/>
  <c r="M28" i="12"/>
  <c r="N28" i="12"/>
  <c r="C29" i="12"/>
  <c r="O29" i="12" s="1"/>
  <c r="D29" i="12"/>
  <c r="E29" i="12"/>
  <c r="F29" i="12"/>
  <c r="G29" i="12"/>
  <c r="H29" i="12"/>
  <c r="I29" i="12"/>
  <c r="K29" i="12"/>
  <c r="L29" i="12"/>
  <c r="M29" i="12"/>
  <c r="N29" i="12"/>
  <c r="C30" i="12"/>
  <c r="O30" i="12" s="1"/>
  <c r="D30" i="12"/>
  <c r="E30" i="12"/>
  <c r="F30" i="12"/>
  <c r="G30" i="12"/>
  <c r="H30" i="12"/>
  <c r="I30" i="12"/>
  <c r="J30" i="12"/>
  <c r="K30" i="12"/>
  <c r="L30" i="12"/>
  <c r="M30" i="12"/>
  <c r="N30" i="12"/>
  <c r="C31" i="12"/>
  <c r="O31" i="12" s="1"/>
  <c r="D31" i="12"/>
  <c r="E31" i="12"/>
  <c r="F31" i="12"/>
  <c r="G31" i="12"/>
  <c r="H31" i="12"/>
  <c r="I31" i="12"/>
  <c r="J31" i="12"/>
  <c r="K31" i="12"/>
  <c r="L31" i="12"/>
  <c r="M31" i="12"/>
  <c r="N31" i="12"/>
  <c r="C35" i="12"/>
  <c r="D35" i="12"/>
  <c r="E35" i="12"/>
  <c r="E33" i="12" s="1"/>
  <c r="F35" i="12"/>
  <c r="F33" i="12" s="1"/>
  <c r="G35" i="12"/>
  <c r="G33" i="12" s="1"/>
  <c r="H35" i="12"/>
  <c r="I35" i="12"/>
  <c r="I33" i="12" s="1"/>
  <c r="J35" i="12"/>
  <c r="J33" i="12" s="1"/>
  <c r="K35" i="12"/>
  <c r="K33" i="12" s="1"/>
  <c r="L35" i="12"/>
  <c r="L33" i="12" s="1"/>
  <c r="M35" i="12"/>
  <c r="M33" i="12" s="1"/>
  <c r="N35" i="12"/>
  <c r="N33" i="12" s="1"/>
  <c r="C36" i="12"/>
  <c r="O36" i="12" s="1"/>
  <c r="D36" i="12"/>
  <c r="E36" i="12"/>
  <c r="F36" i="12"/>
  <c r="G36" i="12"/>
  <c r="H36" i="12"/>
  <c r="I36" i="12"/>
  <c r="J36" i="12"/>
  <c r="K36" i="12"/>
  <c r="L36" i="12"/>
  <c r="M36" i="12"/>
  <c r="N36" i="12"/>
  <c r="H2" i="11"/>
  <c r="I22" i="10"/>
  <c r="I21" i="10"/>
  <c r="I20" i="10"/>
  <c r="L19" i="10"/>
  <c r="I19" i="10"/>
  <c r="I18" i="10"/>
  <c r="I17" i="10"/>
  <c r="L16" i="10"/>
  <c r="I16" i="10"/>
  <c r="I15" i="10"/>
  <c r="I14" i="10"/>
  <c r="I13" i="10"/>
  <c r="I12" i="10"/>
  <c r="I11" i="10"/>
  <c r="I10" i="10"/>
  <c r="I9" i="10"/>
  <c r="I22" i="9"/>
  <c r="I21" i="9"/>
  <c r="I20" i="9"/>
  <c r="L19" i="9"/>
  <c r="I19" i="9"/>
  <c r="I18" i="9"/>
  <c r="I17" i="9"/>
  <c r="L16" i="9"/>
  <c r="I16" i="9"/>
  <c r="I15" i="9"/>
  <c r="I14" i="9"/>
  <c r="I13" i="9"/>
  <c r="I12" i="9"/>
  <c r="I11" i="9"/>
  <c r="I10" i="9"/>
  <c r="I9" i="9"/>
  <c r="I8" i="9"/>
  <c r="I7" i="9"/>
  <c r="I6" i="9"/>
  <c r="I5" i="9"/>
  <c r="I22" i="8"/>
  <c r="I21" i="8"/>
  <c r="I20" i="8"/>
  <c r="L19" i="8"/>
  <c r="I19" i="8"/>
  <c r="I18" i="8"/>
  <c r="I17" i="8"/>
  <c r="L16" i="8"/>
  <c r="I16" i="8"/>
  <c r="I15" i="8"/>
  <c r="I14" i="8"/>
  <c r="I13" i="8"/>
  <c r="I12" i="8"/>
  <c r="I11" i="8"/>
  <c r="I10" i="8"/>
  <c r="I9" i="8"/>
  <c r="I8" i="8"/>
  <c r="I7" i="8"/>
  <c r="I6" i="8"/>
  <c r="I5" i="8"/>
  <c r="I22" i="7"/>
  <c r="I21" i="7"/>
  <c r="I20" i="7"/>
  <c r="L19" i="7"/>
  <c r="I19" i="7"/>
  <c r="I18" i="7"/>
  <c r="I17" i="7"/>
  <c r="L16" i="7"/>
  <c r="I16" i="7"/>
  <c r="I15" i="7"/>
  <c r="I14" i="7"/>
  <c r="I13" i="7"/>
  <c r="I12" i="7"/>
  <c r="I11" i="7"/>
  <c r="I10" i="7"/>
  <c r="I9" i="7"/>
  <c r="I8" i="7"/>
  <c r="I7" i="7"/>
  <c r="I6" i="7"/>
  <c r="I5" i="7"/>
  <c r="I22" i="6"/>
  <c r="I21" i="6"/>
  <c r="I20" i="6"/>
  <c r="L19" i="6"/>
  <c r="I19" i="6"/>
  <c r="I18" i="6"/>
  <c r="I17" i="6"/>
  <c r="L16" i="6"/>
  <c r="I16" i="6"/>
  <c r="I15" i="6"/>
  <c r="I14" i="6"/>
  <c r="I13" i="6"/>
  <c r="I12" i="6"/>
  <c r="I11" i="6"/>
  <c r="I10" i="6"/>
  <c r="I9" i="6"/>
  <c r="I8" i="6"/>
  <c r="I7" i="6"/>
  <c r="I6" i="6"/>
  <c r="I5" i="6"/>
  <c r="I22" i="5"/>
  <c r="I21" i="5"/>
  <c r="I20" i="5"/>
  <c r="L19" i="5"/>
  <c r="I19" i="5"/>
  <c r="I18" i="5"/>
  <c r="I17" i="5"/>
  <c r="L16" i="5"/>
  <c r="I16" i="5"/>
  <c r="I15" i="5"/>
  <c r="I14" i="5"/>
  <c r="I13" i="5"/>
  <c r="I12" i="5"/>
  <c r="I11" i="5"/>
  <c r="I10" i="5"/>
  <c r="I9" i="5"/>
  <c r="I8" i="5"/>
  <c r="I7" i="5"/>
  <c r="I6" i="5"/>
  <c r="I5" i="5"/>
  <c r="J13" i="12" l="1"/>
  <c r="J38" i="12" s="1"/>
  <c r="N13" i="12"/>
  <c r="N38" i="12" s="1"/>
  <c r="M13" i="12"/>
  <c r="M7" i="12"/>
  <c r="M38" i="12" s="1"/>
  <c r="H33" i="12"/>
  <c r="H38" i="12" s="1"/>
  <c r="D7" i="12"/>
  <c r="D38" i="12" s="1"/>
  <c r="D13" i="12"/>
  <c r="D24" i="12"/>
  <c r="D33" i="12"/>
  <c r="I38" i="12"/>
  <c r="O15" i="12"/>
  <c r="O13" i="12" s="1"/>
  <c r="C13" i="12"/>
  <c r="C38" i="12" s="1"/>
  <c r="F38" i="12"/>
  <c r="L38" i="12"/>
  <c r="O10" i="12"/>
  <c r="O7" i="12" s="1"/>
  <c r="O38" i="12" s="1"/>
  <c r="C24" i="12"/>
  <c r="O24" i="12"/>
  <c r="C33" i="12"/>
  <c r="O35" i="12"/>
  <c r="O33" i="12" s="1"/>
  <c r="B8" i="11" a="1"/>
  <c r="B17" i="11"/>
  <c r="B10" i="11" a="1"/>
  <c r="B4" i="11" a="1"/>
  <c r="H17" i="11"/>
  <c r="B6" i="11" a="1"/>
  <c r="B12" i="11" a="1"/>
  <c r="B14" i="11" a="1"/>
  <c r="B8" i="11" l="1"/>
  <c r="C8" i="11"/>
  <c r="D8" i="11"/>
  <c r="E8" i="11"/>
  <c r="B19" i="11" a="1"/>
  <c r="H4" i="11"/>
  <c r="H3" i="11" s="1"/>
  <c r="G4" i="11"/>
  <c r="G3" i="11" s="1"/>
  <c r="F4" i="11"/>
  <c r="F3" i="11" s="1"/>
  <c r="E4" i="11"/>
  <c r="E3" i="11" s="1"/>
  <c r="C4" i="11"/>
  <c r="C3" i="11" s="1"/>
  <c r="D4" i="11"/>
  <c r="D3" i="11" s="1"/>
  <c r="B4" i="11"/>
  <c r="H6" i="11"/>
  <c r="G6" i="11"/>
  <c r="F6" i="11"/>
  <c r="E6" i="11"/>
  <c r="D6" i="11"/>
  <c r="C6" i="11"/>
  <c r="B6" i="11"/>
  <c r="F8" i="11"/>
  <c r="G8" i="11"/>
  <c r="H8" i="11"/>
  <c r="F10" i="11"/>
  <c r="E10" i="11"/>
  <c r="D10" i="11"/>
  <c r="C10" i="11"/>
  <c r="B10" i="11"/>
  <c r="G10" i="11"/>
  <c r="H10" i="11"/>
  <c r="B29" i="11" a="1"/>
  <c r="B25" i="11" a="1"/>
  <c r="B23" i="11" a="1"/>
  <c r="B21" i="11" a="1"/>
  <c r="B32" i="11"/>
  <c r="H32" i="11"/>
  <c r="B27" i="11" a="1"/>
  <c r="B12" i="11"/>
  <c r="G12" i="11"/>
  <c r="F12" i="11"/>
  <c r="E12" i="11"/>
  <c r="D12" i="11"/>
  <c r="C12" i="11"/>
  <c r="H12" i="11"/>
  <c r="C14" i="11"/>
  <c r="B14" i="11"/>
  <c r="D19" i="11" l="1"/>
  <c r="D18" i="11" s="1"/>
  <c r="E19" i="11"/>
  <c r="E18" i="11" s="1"/>
  <c r="F19" i="11"/>
  <c r="F18" i="11" s="1"/>
  <c r="G19" i="11"/>
  <c r="G18" i="11" s="1"/>
  <c r="H19" i="11"/>
  <c r="H18" i="11" s="1"/>
  <c r="B19" i="11"/>
  <c r="B18" i="11" s="1"/>
  <c r="C19" i="11"/>
  <c r="C18" i="11" s="1"/>
  <c r="B29" i="11"/>
  <c r="C29" i="11"/>
  <c r="G25" i="11"/>
  <c r="F25" i="11"/>
  <c r="E25" i="11"/>
  <c r="D25" i="11"/>
  <c r="C25" i="11"/>
  <c r="B25" i="11"/>
  <c r="H25" i="11"/>
  <c r="H23" i="11"/>
  <c r="G23" i="11"/>
  <c r="F23" i="11"/>
  <c r="E23" i="11"/>
  <c r="D23" i="11"/>
  <c r="C23" i="11"/>
  <c r="B23" i="11"/>
  <c r="H21" i="11"/>
  <c r="G21" i="11"/>
  <c r="F21" i="11"/>
  <c r="E21" i="11"/>
  <c r="B21" i="11"/>
  <c r="D21" i="11"/>
  <c r="C21" i="11"/>
  <c r="B40" i="11" a="1"/>
  <c r="H47" i="11"/>
  <c r="B47" i="11"/>
  <c r="B44" i="11" a="1"/>
  <c r="B42" i="11" a="1"/>
  <c r="B38" i="11" a="1"/>
  <c r="B36" i="11" a="1"/>
  <c r="B34" i="11" a="1"/>
  <c r="H27" i="11"/>
  <c r="G27" i="11"/>
  <c r="F27" i="11"/>
  <c r="E27" i="11"/>
  <c r="D27" i="11"/>
  <c r="C27" i="11"/>
  <c r="B27" i="11"/>
  <c r="H40" i="11" l="1"/>
  <c r="G40" i="11"/>
  <c r="F40" i="11"/>
  <c r="E40" i="11"/>
  <c r="D40" i="11"/>
  <c r="C40" i="11"/>
  <c r="B40" i="11"/>
  <c r="H62" i="11"/>
  <c r="B62" i="11"/>
  <c r="B59" i="11" a="1"/>
  <c r="B57" i="11" a="1"/>
  <c r="B55" i="11" a="1"/>
  <c r="B53" i="11" a="1"/>
  <c r="B51" i="11" a="1"/>
  <c r="B49" i="11" a="1"/>
  <c r="C44" i="11"/>
  <c r="B44" i="11"/>
  <c r="H42" i="11"/>
  <c r="G42" i="11"/>
  <c r="F42" i="11"/>
  <c r="E42" i="11"/>
  <c r="D42" i="11"/>
  <c r="C42" i="11"/>
  <c r="B42" i="11"/>
  <c r="H38" i="11"/>
  <c r="G38" i="11"/>
  <c r="F38" i="11"/>
  <c r="E38" i="11"/>
  <c r="D38" i="11"/>
  <c r="C38" i="11"/>
  <c r="B38" i="11"/>
  <c r="H36" i="11"/>
  <c r="G36" i="11"/>
  <c r="F36" i="11"/>
  <c r="E36" i="11"/>
  <c r="D36" i="11"/>
  <c r="C36" i="11"/>
  <c r="B36" i="11"/>
  <c r="H34" i="11"/>
  <c r="H33" i="11" s="1"/>
  <c r="G34" i="11"/>
  <c r="G33" i="11" s="1"/>
  <c r="F34" i="11"/>
  <c r="F33" i="11" s="1"/>
  <c r="E34" i="11"/>
  <c r="E33" i="11" s="1"/>
  <c r="D34" i="11"/>
  <c r="D33" i="11" s="1"/>
  <c r="C34" i="11"/>
  <c r="C33" i="11" s="1"/>
  <c r="B34" i="11"/>
  <c r="B33" i="11" s="1"/>
  <c r="L20" i="10" l="1"/>
  <c r="L20" i="9"/>
  <c r="L20" i="8"/>
  <c r="L20" i="7"/>
  <c r="L20" i="6"/>
  <c r="L20" i="5"/>
  <c r="B68" i="11" a="1"/>
  <c r="B72" i="11" a="1"/>
  <c r="B70" i="11" a="1"/>
  <c r="B66" i="11" a="1"/>
  <c r="B64" i="11" a="1"/>
  <c r="H77" i="11"/>
  <c r="B77" i="11"/>
  <c r="B74" i="11" a="1"/>
  <c r="C59" i="11"/>
  <c r="B59" i="11"/>
  <c r="H57" i="11"/>
  <c r="G57" i="11"/>
  <c r="F57" i="11"/>
  <c r="E57" i="11"/>
  <c r="D57" i="11"/>
  <c r="C57" i="11"/>
  <c r="B57" i="11"/>
  <c r="H55" i="11"/>
  <c r="G55" i="11"/>
  <c r="F55" i="11"/>
  <c r="E55" i="11"/>
  <c r="D55" i="11"/>
  <c r="C55" i="11"/>
  <c r="B55" i="11"/>
  <c r="H53" i="11"/>
  <c r="G53" i="11"/>
  <c r="F53" i="11"/>
  <c r="E53" i="11"/>
  <c r="D53" i="11"/>
  <c r="C53" i="11"/>
  <c r="B53" i="11"/>
  <c r="H51" i="11"/>
  <c r="G51" i="11"/>
  <c r="F51" i="11"/>
  <c r="E51" i="11"/>
  <c r="C51" i="11"/>
  <c r="B51" i="11"/>
  <c r="D51" i="11"/>
  <c r="H49" i="11"/>
  <c r="H48" i="11" s="1"/>
  <c r="G49" i="11"/>
  <c r="G48" i="11" s="1"/>
  <c r="E49" i="11"/>
  <c r="E48" i="11" s="1"/>
  <c r="D49" i="11"/>
  <c r="D48" i="11" s="1"/>
  <c r="C49" i="11"/>
  <c r="C48" i="11" s="1"/>
  <c r="B49" i="11"/>
  <c r="B48" i="11" s="1"/>
  <c r="F49" i="11"/>
  <c r="F48" i="11" s="1"/>
  <c r="H68" i="11" l="1"/>
  <c r="G68" i="11"/>
  <c r="F68" i="11"/>
  <c r="E68" i="11"/>
  <c r="D68" i="11"/>
  <c r="C68" i="11"/>
  <c r="B68" i="11"/>
  <c r="H72" i="11"/>
  <c r="G72" i="11"/>
  <c r="F72" i="11"/>
  <c r="E72" i="11"/>
  <c r="D72" i="11"/>
  <c r="C72" i="11"/>
  <c r="B72" i="11"/>
  <c r="H70" i="11"/>
  <c r="G70" i="11"/>
  <c r="F70" i="11"/>
  <c r="E70" i="11"/>
  <c r="D70" i="11"/>
  <c r="C70" i="11"/>
  <c r="B70" i="11"/>
  <c r="H66" i="11"/>
  <c r="G66" i="11"/>
  <c r="F66" i="11"/>
  <c r="E66" i="11"/>
  <c r="D66" i="11"/>
  <c r="C66" i="11"/>
  <c r="B66" i="11"/>
  <c r="H64" i="11"/>
  <c r="H63" i="11" s="1"/>
  <c r="G64" i="11"/>
  <c r="G63" i="11" s="1"/>
  <c r="F64" i="11"/>
  <c r="F63" i="11" s="1"/>
  <c r="E64" i="11"/>
  <c r="E63" i="11" s="1"/>
  <c r="D64" i="11"/>
  <c r="D63" i="11" s="1"/>
  <c r="C64" i="11"/>
  <c r="C63" i="11" s="1"/>
  <c r="B64" i="11"/>
  <c r="B63" i="11" s="1"/>
  <c r="H92" i="11"/>
  <c r="B92" i="11"/>
  <c r="B79" i="11" a="1"/>
  <c r="B87" i="11" a="1"/>
  <c r="B81" i="11" a="1"/>
  <c r="B85" i="11" a="1"/>
  <c r="B89" i="11" a="1"/>
  <c r="B83" i="11" a="1"/>
  <c r="B74" i="11"/>
  <c r="C74" i="11"/>
  <c r="H107" i="11" l="1"/>
  <c r="B107" i="11"/>
  <c r="B104" i="11" a="1"/>
  <c r="B102" i="11" a="1"/>
  <c r="B100" i="11" a="1"/>
  <c r="H79" i="11"/>
  <c r="H78" i="11" s="1"/>
  <c r="G79" i="11"/>
  <c r="G78" i="11" s="1"/>
  <c r="F79" i="11"/>
  <c r="F78" i="11" s="1"/>
  <c r="E79" i="11"/>
  <c r="E78" i="11" s="1"/>
  <c r="D79" i="11"/>
  <c r="D78" i="11" s="1"/>
  <c r="C79" i="11"/>
  <c r="C78" i="11" s="1"/>
  <c r="B79" i="11"/>
  <c r="B78" i="11" s="1"/>
  <c r="B98" i="11" a="1"/>
  <c r="B96" i="11" a="1"/>
  <c r="B94" i="11" a="1"/>
  <c r="C87" i="11"/>
  <c r="B87" i="11"/>
  <c r="H87" i="11"/>
  <c r="G87" i="11"/>
  <c r="F87" i="11"/>
  <c r="E87" i="11"/>
  <c r="D87" i="11"/>
  <c r="H81" i="11"/>
  <c r="D81" i="11"/>
  <c r="C81" i="11"/>
  <c r="G81" i="11"/>
  <c r="F81" i="11"/>
  <c r="E81" i="11"/>
  <c r="B81" i="11"/>
  <c r="H85" i="11"/>
  <c r="G85" i="11"/>
  <c r="F85" i="11"/>
  <c r="E85" i="11"/>
  <c r="B85" i="11"/>
  <c r="D85" i="11"/>
  <c r="C85" i="11"/>
  <c r="C89" i="11"/>
  <c r="B89" i="11"/>
  <c r="B83" i="11"/>
  <c r="G83" i="11"/>
  <c r="F83" i="11"/>
  <c r="H83" i="11"/>
  <c r="E83" i="11"/>
  <c r="D83" i="11"/>
  <c r="C83" i="11"/>
  <c r="B122" i="11" l="1"/>
  <c r="H122" i="11"/>
  <c r="B119" i="11" a="1"/>
  <c r="B113" i="11" a="1"/>
  <c r="B111" i="11" a="1"/>
  <c r="B109" i="11" a="1"/>
  <c r="B117" i="11" a="1"/>
  <c r="B115" i="11" a="1"/>
  <c r="C104" i="11"/>
  <c r="B104" i="11"/>
  <c r="H102" i="11"/>
  <c r="G102" i="11"/>
  <c r="F102" i="11"/>
  <c r="E102" i="11"/>
  <c r="D102" i="11"/>
  <c r="C102" i="11"/>
  <c r="B102" i="11"/>
  <c r="H100" i="11"/>
  <c r="G100" i="11"/>
  <c r="F100" i="11"/>
  <c r="E100" i="11"/>
  <c r="D100" i="11"/>
  <c r="C100" i="11"/>
  <c r="B100" i="11"/>
  <c r="H98" i="11"/>
  <c r="G98" i="11"/>
  <c r="F98" i="11"/>
  <c r="E98" i="11"/>
  <c r="D98" i="11"/>
  <c r="C98" i="11"/>
  <c r="B98" i="11"/>
  <c r="H96" i="11"/>
  <c r="G96" i="11"/>
  <c r="F96" i="11"/>
  <c r="E96" i="11"/>
  <c r="D96" i="11"/>
  <c r="C96" i="11"/>
  <c r="B96" i="11"/>
  <c r="H94" i="11"/>
  <c r="H93" i="11" s="1"/>
  <c r="G94" i="11"/>
  <c r="G93" i="11" s="1"/>
  <c r="F94" i="11"/>
  <c r="F93" i="11" s="1"/>
  <c r="E94" i="11"/>
  <c r="E93" i="11" s="1"/>
  <c r="D94" i="11"/>
  <c r="D93" i="11" s="1"/>
  <c r="C94" i="11"/>
  <c r="C93" i="11" s="1"/>
  <c r="B94" i="11"/>
  <c r="B93" i="11" s="1"/>
  <c r="H137" i="11" l="1"/>
  <c r="B137" i="11"/>
  <c r="B134" i="11" a="1"/>
  <c r="B132" i="11" a="1"/>
  <c r="B130" i="11" a="1"/>
  <c r="B128" i="11" a="1"/>
  <c r="B126" i="11" a="1"/>
  <c r="B124" i="11" a="1"/>
  <c r="C119" i="11"/>
  <c r="B119" i="11"/>
  <c r="H117" i="11"/>
  <c r="G117" i="11"/>
  <c r="F117" i="11"/>
  <c r="E117" i="11"/>
  <c r="D117" i="11"/>
  <c r="C117" i="11"/>
  <c r="B117" i="11"/>
  <c r="H113" i="11"/>
  <c r="G113" i="11"/>
  <c r="F113" i="11"/>
  <c r="E113" i="11"/>
  <c r="D113" i="11"/>
  <c r="C113" i="11"/>
  <c r="B113" i="11"/>
  <c r="H111" i="11"/>
  <c r="G111" i="11"/>
  <c r="F111" i="11"/>
  <c r="E111" i="11"/>
  <c r="D111" i="11"/>
  <c r="C111" i="11"/>
  <c r="B111" i="11"/>
  <c r="H109" i="11"/>
  <c r="H108" i="11" s="1"/>
  <c r="G109" i="11"/>
  <c r="G108" i="11" s="1"/>
  <c r="F109" i="11"/>
  <c r="F108" i="11" s="1"/>
  <c r="D109" i="11"/>
  <c r="D108" i="11" s="1"/>
  <c r="C109" i="11"/>
  <c r="C108" i="11" s="1"/>
  <c r="B109" i="11"/>
  <c r="B108" i="11" s="1"/>
  <c r="E109" i="11"/>
  <c r="E108" i="11" s="1"/>
  <c r="H115" i="11"/>
  <c r="G115" i="11"/>
  <c r="F115" i="11"/>
  <c r="E115" i="11"/>
  <c r="D115" i="11"/>
  <c r="C115" i="11"/>
  <c r="B115" i="11"/>
  <c r="B145" i="11" l="1" a="1"/>
  <c r="B139" i="11" a="1"/>
  <c r="B147" i="11" a="1"/>
  <c r="H152" i="11"/>
  <c r="B152" i="11"/>
  <c r="B149" i="11" a="1"/>
  <c r="B143" i="11" a="1"/>
  <c r="B141" i="11" a="1"/>
  <c r="B134" i="11"/>
  <c r="C134" i="11"/>
  <c r="G132" i="11"/>
  <c r="F132" i="11"/>
  <c r="E132" i="11"/>
  <c r="D132" i="11"/>
  <c r="C132" i="11"/>
  <c r="B132" i="11"/>
  <c r="H132" i="11"/>
  <c r="C130" i="11"/>
  <c r="B130" i="11"/>
  <c r="H130" i="11"/>
  <c r="G130" i="11"/>
  <c r="F130" i="11"/>
  <c r="E130" i="11"/>
  <c r="D130" i="11"/>
  <c r="H128" i="11"/>
  <c r="G128" i="11"/>
  <c r="F128" i="11"/>
  <c r="E128" i="11"/>
  <c r="D128" i="11"/>
  <c r="C128" i="11"/>
  <c r="B128" i="11"/>
  <c r="H126" i="11"/>
  <c r="G126" i="11"/>
  <c r="F126" i="11"/>
  <c r="E126" i="11"/>
  <c r="D126" i="11"/>
  <c r="C126" i="11"/>
  <c r="B126" i="11"/>
  <c r="G124" i="11"/>
  <c r="G123" i="11" s="1"/>
  <c r="F124" i="11"/>
  <c r="F123" i="11" s="1"/>
  <c r="E124" i="11"/>
  <c r="E123" i="11" s="1"/>
  <c r="D124" i="11"/>
  <c r="D123" i="11" s="1"/>
  <c r="C124" i="11"/>
  <c r="C123" i="11" s="1"/>
  <c r="B124" i="11"/>
  <c r="B123" i="11" s="1"/>
  <c r="H124" i="11"/>
  <c r="H123" i="11" s="1"/>
  <c r="H145" i="11" l="1"/>
  <c r="G145" i="11"/>
  <c r="F145" i="11"/>
  <c r="E145" i="11"/>
  <c r="D145" i="11"/>
  <c r="C145" i="11"/>
  <c r="B145" i="11"/>
  <c r="H147" i="11"/>
  <c r="G147" i="11"/>
  <c r="F147" i="11"/>
  <c r="E147" i="11"/>
  <c r="D147" i="11"/>
  <c r="C147" i="11"/>
  <c r="B147" i="11"/>
  <c r="B162" i="11" a="1"/>
  <c r="B160" i="11" a="1"/>
  <c r="B158" i="11" a="1"/>
  <c r="B156" i="11" a="1"/>
  <c r="B154" i="11" a="1"/>
  <c r="H139" i="11"/>
  <c r="H138" i="11" s="1"/>
  <c r="G139" i="11"/>
  <c r="G138" i="11" s="1"/>
  <c r="F139" i="11"/>
  <c r="F138" i="11" s="1"/>
  <c r="E139" i="11"/>
  <c r="E138" i="11" s="1"/>
  <c r="D139" i="11"/>
  <c r="D138" i="11" s="1"/>
  <c r="C139" i="11"/>
  <c r="C138" i="11" s="1"/>
  <c r="B139" i="11"/>
  <c r="B138" i="11" s="1"/>
  <c r="H167" i="11"/>
  <c r="B167" i="11"/>
  <c r="B164" i="11" a="1"/>
  <c r="C149" i="11"/>
  <c r="B149" i="11"/>
  <c r="H143" i="11"/>
  <c r="G143" i="11"/>
  <c r="F143" i="11"/>
  <c r="E143" i="11"/>
  <c r="D143" i="11"/>
  <c r="C143" i="11"/>
  <c r="B143" i="11"/>
  <c r="H141" i="11"/>
  <c r="G141" i="11"/>
  <c r="F141" i="11"/>
  <c r="E141" i="11"/>
  <c r="D141" i="11"/>
  <c r="C141" i="11"/>
  <c r="B141" i="11"/>
  <c r="F162" i="11" l="1"/>
  <c r="H162" i="11"/>
  <c r="G162" i="11"/>
  <c r="E162" i="11"/>
  <c r="D162" i="11"/>
  <c r="C162" i="11"/>
  <c r="B162" i="11"/>
  <c r="B160" i="11"/>
  <c r="H160" i="11"/>
  <c r="G160" i="11"/>
  <c r="F160" i="11"/>
  <c r="E160" i="11"/>
  <c r="D160" i="11"/>
  <c r="C160" i="11"/>
  <c r="B158" i="11"/>
  <c r="C158" i="11"/>
  <c r="D158" i="11"/>
  <c r="E158" i="11"/>
  <c r="F158" i="11"/>
  <c r="G158" i="11"/>
  <c r="H158" i="11"/>
  <c r="H156" i="11"/>
  <c r="G156" i="11"/>
  <c r="F156" i="11"/>
  <c r="E156" i="11"/>
  <c r="D156" i="11"/>
  <c r="C156" i="11"/>
  <c r="B156" i="11"/>
  <c r="G154" i="11"/>
  <c r="G153" i="11" s="1"/>
  <c r="H154" i="11"/>
  <c r="H153" i="11" s="1"/>
  <c r="F154" i="11"/>
  <c r="F153" i="11" s="1"/>
  <c r="E154" i="11"/>
  <c r="E153" i="11" s="1"/>
  <c r="D154" i="11"/>
  <c r="D153" i="11" s="1"/>
  <c r="C154" i="11"/>
  <c r="C153" i="11" s="1"/>
  <c r="B154" i="11"/>
  <c r="B153" i="11" s="1"/>
  <c r="B177" i="11" a="1"/>
  <c r="B169" i="11" a="1"/>
  <c r="B179" i="11" a="1"/>
  <c r="B171" i="11" a="1"/>
  <c r="B173" i="11" a="1"/>
  <c r="B175" i="11" a="1"/>
  <c r="B164" i="11"/>
  <c r="C164" i="11"/>
  <c r="H177" i="11" l="1"/>
  <c r="B177" i="11"/>
  <c r="G177" i="11"/>
  <c r="F177" i="11"/>
  <c r="E177" i="11"/>
  <c r="D177" i="11"/>
  <c r="C177" i="11"/>
  <c r="H169" i="11"/>
  <c r="H168" i="11" s="1"/>
  <c r="G169" i="11"/>
  <c r="G168" i="11" s="1"/>
  <c r="F169" i="11"/>
  <c r="F168" i="11" s="1"/>
  <c r="E169" i="11"/>
  <c r="E168" i="11" s="1"/>
  <c r="D169" i="11"/>
  <c r="D168" i="11" s="1"/>
  <c r="C169" i="11"/>
  <c r="C168" i="11" s="1"/>
  <c r="B169" i="11"/>
  <c r="B168" i="11" s="1"/>
  <c r="C179" i="11"/>
  <c r="B179" i="11"/>
  <c r="H171" i="11"/>
  <c r="G171" i="11"/>
  <c r="F171" i="11"/>
  <c r="E171" i="11"/>
  <c r="D171" i="11"/>
  <c r="C171" i="11"/>
  <c r="B171" i="11"/>
  <c r="H173" i="11"/>
  <c r="G173" i="11"/>
  <c r="F173" i="11"/>
  <c r="E173" i="11"/>
  <c r="D173" i="11"/>
  <c r="C173" i="11"/>
  <c r="B173" i="11"/>
  <c r="H175" i="11"/>
  <c r="G175" i="11"/>
  <c r="F175" i="11"/>
  <c r="E175" i="11"/>
  <c r="D175" i="11"/>
  <c r="C175" i="11"/>
  <c r="B175" i="11"/>
  <c r="L13" i="10" l="1"/>
  <c r="L1" i="10"/>
  <c r="L13" i="9"/>
  <c r="L1" i="9"/>
  <c r="L13" i="8"/>
  <c r="L1" i="8"/>
  <c r="L13" i="7"/>
  <c r="L1" i="7"/>
  <c r="L13" i="6"/>
  <c r="L1" i="6"/>
  <c r="L13" i="5"/>
  <c r="L1" i="5"/>
  <c r="L14" i="10" l="1"/>
  <c r="L14" i="9"/>
  <c r="L14" i="8"/>
  <c r="L14" i="7"/>
  <c r="L14" i="6"/>
  <c r="L14" i="5"/>
  <c r="L10" i="10"/>
  <c r="L10" i="9"/>
  <c r="L10" i="8"/>
  <c r="L10" i="7"/>
  <c r="L10" i="6"/>
  <c r="L10" i="5"/>
  <c r="L11" i="10" l="1"/>
  <c r="L11" i="9"/>
  <c r="L11" i="8"/>
  <c r="L11" i="7"/>
  <c r="L11" i="6"/>
  <c r="L11" i="5"/>
  <c r="L7" i="10"/>
  <c r="L7" i="9"/>
  <c r="L7" i="8"/>
  <c r="L7" i="7"/>
  <c r="L7" i="6"/>
  <c r="L7" i="5"/>
  <c r="L4" i="10"/>
  <c r="L4" i="9"/>
  <c r="L4" i="8"/>
  <c r="L4" i="7"/>
  <c r="L4" i="6"/>
  <c r="L4" i="5"/>
  <c r="L17" i="10"/>
  <c r="L17" i="9"/>
  <c r="L17" i="8"/>
  <c r="L17" i="7"/>
  <c r="L17" i="6"/>
  <c r="L17" i="5"/>
  <c r="L5" i="10" l="1"/>
  <c r="L5" i="9"/>
  <c r="L5" i="8"/>
  <c r="L5" i="7"/>
  <c r="L5" i="6"/>
  <c r="L5" i="5"/>
  <c r="L8" i="10"/>
  <c r="L8" i="9"/>
  <c r="L8" i="8"/>
  <c r="L8" i="7"/>
  <c r="L8" i="6"/>
  <c r="L8" i="5"/>
</calcChain>
</file>

<file path=xl/sharedStrings.xml><?xml version="1.0" encoding="utf-8"?>
<sst xmlns="http://schemas.openxmlformats.org/spreadsheetml/2006/main" count="804" uniqueCount="203">
  <si>
    <t>Babysitter Checklist</t>
  </si>
  <si>
    <t xml:space="preserve">Child's Name: </t>
  </si>
  <si>
    <t>Meals</t>
  </si>
  <si>
    <t>Bath</t>
  </si>
  <si>
    <t>Bottle</t>
  </si>
  <si>
    <t>Nap</t>
  </si>
  <si>
    <t>Snack</t>
  </si>
  <si>
    <t>Other</t>
  </si>
  <si>
    <t>8:00am</t>
  </si>
  <si>
    <t>8:30am</t>
  </si>
  <si>
    <t>9:00am</t>
  </si>
  <si>
    <t>9:30am</t>
  </si>
  <si>
    <t>10:00am</t>
  </si>
  <si>
    <t>10:30am</t>
  </si>
  <si>
    <t>11:00am</t>
  </si>
  <si>
    <t>11:30am</t>
  </si>
  <si>
    <t>12:00pm</t>
  </si>
  <si>
    <t>12:30pm</t>
  </si>
  <si>
    <t>1:00pm</t>
  </si>
  <si>
    <t>1:30pm</t>
  </si>
  <si>
    <t>2:00pm</t>
  </si>
  <si>
    <t>2:30pm</t>
  </si>
  <si>
    <t>3:00pm</t>
  </si>
  <si>
    <t>3:30pm</t>
  </si>
  <si>
    <t>4:00pm</t>
  </si>
  <si>
    <t>4:30pm</t>
  </si>
  <si>
    <t>5:00pm</t>
  </si>
  <si>
    <t>5:30pm</t>
  </si>
  <si>
    <t>6:00pm</t>
  </si>
  <si>
    <t>6:30pm</t>
  </si>
  <si>
    <t>7:00pm</t>
  </si>
  <si>
    <t>7:30pm</t>
  </si>
  <si>
    <t>8:00pm</t>
  </si>
  <si>
    <t>8:30pm</t>
  </si>
  <si>
    <t>9:00pm</t>
  </si>
  <si>
    <t>9:30pm</t>
  </si>
  <si>
    <t>10:00pm</t>
  </si>
  <si>
    <t>Notes:</t>
  </si>
  <si>
    <t>Books Read</t>
  </si>
  <si>
    <t>Brushed Teeth</t>
  </si>
  <si>
    <t>Diaper Change</t>
  </si>
  <si>
    <t>Videos Watched</t>
  </si>
  <si>
    <t>Discipline Problem</t>
  </si>
  <si>
    <t>Time</t>
  </si>
  <si>
    <t/>
  </si>
  <si>
    <t>Enter a 1 in cells B3 to N31 to get a checkmark indicating items that are complete; and similarly to Flag Discipline Problems in the Discipline Problem column.</t>
  </si>
  <si>
    <t>Weekly meal planner</t>
  </si>
  <si>
    <t>BREAKFAST</t>
  </si>
  <si>
    <t>LUNCH</t>
  </si>
  <si>
    <t>DINNER</t>
  </si>
  <si>
    <t>SNACK</t>
  </si>
  <si>
    <t>S</t>
  </si>
  <si>
    <t>Bacon, eggs, and toast</t>
  </si>
  <si>
    <t>M</t>
  </si>
  <si>
    <t>Strawberry waffles</t>
  </si>
  <si>
    <t>T</t>
  </si>
  <si>
    <t>Huevos rancheros</t>
  </si>
  <si>
    <t>W</t>
  </si>
  <si>
    <t>F</t>
  </si>
  <si>
    <t xml:space="preserve"> </t>
  </si>
  <si>
    <t>GROCERY LIST</t>
  </si>
  <si>
    <t>DONE</t>
  </si>
  <si>
    <t>ITEM</t>
  </si>
  <si>
    <t>STORE</t>
  </si>
  <si>
    <t>CATEGORY</t>
  </si>
  <si>
    <t>QTY</t>
  </si>
  <si>
    <t>UNIT</t>
  </si>
  <si>
    <t>UNIT PRICE</t>
  </si>
  <si>
    <t>TOTAL</t>
  </si>
  <si>
    <t>COMMENT</t>
  </si>
  <si>
    <t>Oranges</t>
  </si>
  <si>
    <t>Grocery</t>
  </si>
  <si>
    <t>Produce</t>
  </si>
  <si>
    <t>lbs</t>
  </si>
  <si>
    <t>Apples</t>
  </si>
  <si>
    <t>Orchard</t>
  </si>
  <si>
    <t>Have coupon</t>
  </si>
  <si>
    <t>Bananas</t>
  </si>
  <si>
    <t>bunch</t>
  </si>
  <si>
    <t>Lettuce</t>
  </si>
  <si>
    <t>Market</t>
  </si>
  <si>
    <t>head</t>
  </si>
  <si>
    <t>Tomatoes</t>
  </si>
  <si>
    <t>Squash</t>
  </si>
  <si>
    <t>each</t>
  </si>
  <si>
    <t>Celery</t>
  </si>
  <si>
    <t>Cucumber</t>
  </si>
  <si>
    <t>Mushrooms</t>
  </si>
  <si>
    <t>Large portabella</t>
  </si>
  <si>
    <t xml:space="preserve">Milk </t>
  </si>
  <si>
    <t>Home delivery</t>
  </si>
  <si>
    <t>Dairy</t>
  </si>
  <si>
    <t>gal</t>
  </si>
  <si>
    <t>Cheese</t>
  </si>
  <si>
    <t>Variety of block cheeses</t>
  </si>
  <si>
    <t>Eggs</t>
  </si>
  <si>
    <t>doz</t>
  </si>
  <si>
    <t>Cottage cheese</t>
  </si>
  <si>
    <t>16 oz</t>
  </si>
  <si>
    <t>Sour cream</t>
  </si>
  <si>
    <t>8 oz</t>
  </si>
  <si>
    <t>Yogurt</t>
  </si>
  <si>
    <t>Greek with honey</t>
  </si>
  <si>
    <t>Beef</t>
  </si>
  <si>
    <t>Meat</t>
  </si>
  <si>
    <t>Bacon wrapped filets</t>
  </si>
  <si>
    <t>Wild salmon</t>
  </si>
  <si>
    <t>Fish market</t>
  </si>
  <si>
    <t>Seafood</t>
  </si>
  <si>
    <t>Alaskan king crab legs</t>
  </si>
  <si>
    <t>Parent-teacher conferences 7pm</t>
  </si>
  <si>
    <t>MONDAY</t>
  </si>
  <si>
    <t>September</t>
  </si>
  <si>
    <t>MONTHLY VARIANCE</t>
  </si>
  <si>
    <t>Travel costs</t>
  </si>
  <si>
    <t>Training classes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</si>
  <si>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</si>
  <si>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</si>
  <si>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</si>
  <si>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</si>
  <si>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</si>
  <si>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</si>
  <si>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</si>
  <si>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</si>
  <si>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</si>
  <si>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</si>
  <si>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</si>
  <si>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</si>
  <si>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TRAINING/TRAVEL</t>
  </si>
  <si>
    <t>TRAINING / TRAVEL</t>
  </si>
  <si>
    <t>Miscellaneous expenses</t>
  </si>
  <si>
    <t>Marketing events</t>
  </si>
  <si>
    <t>Collateral printing</t>
  </si>
  <si>
    <t>Collateral preparation</t>
  </si>
  <si>
    <t>Web site updates</t>
  </si>
  <si>
    <t>Web site hosting</t>
  </si>
  <si>
    <t>MARKETING COSTS</t>
  </si>
  <si>
    <t>Security</t>
  </si>
  <si>
    <t>Office supplies</t>
  </si>
  <si>
    <t>Internet access</t>
  </si>
  <si>
    <t>Telephone</t>
  </si>
  <si>
    <t>Water</t>
  </si>
  <si>
    <t>Electric</t>
  </si>
  <si>
    <t>Gas</t>
  </si>
  <si>
    <t>Office lease</t>
  </si>
  <si>
    <t>OFFICE COSTS</t>
  </si>
  <si>
    <t xml:space="preserve"> EMPLOYEE COSTS</t>
  </si>
  <si>
    <t>Total</t>
  </si>
  <si>
    <t>December</t>
  </si>
  <si>
    <t>November</t>
  </si>
  <si>
    <t>October</t>
  </si>
  <si>
    <t>August</t>
  </si>
  <si>
    <t>July</t>
  </si>
  <si>
    <t>June</t>
  </si>
  <si>
    <t>May</t>
  </si>
  <si>
    <t>April</t>
  </si>
  <si>
    <t>March</t>
  </si>
  <si>
    <t>January</t>
  </si>
  <si>
    <t xml:space="preserve">  Note: negative values mean actual expense is higher than planned expense</t>
  </si>
  <si>
    <t>l</t>
  </si>
  <si>
    <t>IG Saves</t>
  </si>
  <si>
    <t>NAME</t>
  </si>
  <si>
    <t>TYPE OF INFORMATION</t>
  </si>
  <si>
    <t>Economy</t>
  </si>
  <si>
    <t>Book</t>
  </si>
  <si>
    <t>OBTAINED</t>
  </si>
  <si>
    <t>The globalization of poverty and the new 
world order by Michel Chossudovsky</t>
  </si>
  <si>
    <t>Rebuild a civilisation from scratch</t>
  </si>
  <si>
    <t>Long Plan</t>
  </si>
  <si>
    <t>Yes</t>
  </si>
  <si>
    <t>Didn't see a free pdf</t>
  </si>
  <si>
    <t>In LEARNING_PRACTICES/</t>
  </si>
  <si>
    <t>The cup of Hermes, a beginner guide to 
sexual alchemy</t>
  </si>
  <si>
    <t>Knowledge</t>
  </si>
  <si>
    <t>No, need to 
purchase</t>
  </si>
  <si>
    <t>NaN</t>
  </si>
  <si>
    <t>Une nobless noir oublié</t>
  </si>
  <si>
    <t xml:space="preserve">The Basis Of Passional Psychology: A 
Study Of The Laws Of Love In Man And 
The Lower Animals </t>
  </si>
  <si>
    <t>American Justice from frontlines of the 
war on crime matthew D. moyer</t>
  </si>
  <si>
    <t>LEARNING</t>
  </si>
  <si>
    <t>STATE</t>
  </si>
  <si>
    <t>SUBJECT</t>
  </si>
  <si>
    <t>PARTS</t>
  </si>
  <si>
    <t>Mathematics</t>
  </si>
  <si>
    <t>Linear Algebra</t>
  </si>
  <si>
    <t>REASON</t>
  </si>
  <si>
    <t xml:space="preserve">For School </t>
  </si>
  <si>
    <t>TIME SPEND (minutes)</t>
  </si>
  <si>
    <t>DURATION
(days)</t>
  </si>
  <si>
    <t>DIFFICULTY
LEVEL(10)</t>
  </si>
  <si>
    <t>NA</t>
  </si>
  <si>
    <t>⌛ Starting</t>
  </si>
  <si>
    <t>Trigonometry</t>
  </si>
  <si>
    <t>Calculus</t>
  </si>
  <si>
    <t>Complex Numbers</t>
  </si>
  <si>
    <t>ROUTINE</t>
  </si>
  <si>
    <t>MONTHLY INCOMES&amp;EXPENDITURES</t>
  </si>
  <si>
    <t>2026-2027</t>
  </si>
  <si>
    <t>Fabruary</t>
  </si>
  <si>
    <t>INCOMES</t>
  </si>
  <si>
    <t>Salary</t>
  </si>
  <si>
    <t>CAF</t>
  </si>
  <si>
    <t>MobiliteJeune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</si>
</sst>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&quot;   Done&quot;;&quot;&quot;;&quot;&quot;"/>
    <numFmt numFmtId="165" formatCode="&quot;  Flag&quot;;&quot;&quot;;&quot;&quot;"/>
    <numFmt numFmtId="166" formatCode="[$-409]h:mm\ AM/PM;@"/>
    <numFmt numFmtId="167" formatCode=";;;"/>
    <numFmt numFmtId="168" formatCode="&quot; Done&quot;;&quot;&quot;;&quot;&quot;"/>
    <numFmt numFmtId="169" formatCode="&quot;$&quot;#,##0.00"/>
    <numFmt numFmtId="170" formatCode="&quot;$&quot;#,##0"/>
    <numFmt numFmtId="171" formatCode="dd"/>
    <numFmt numFmtId="172" formatCode="_(&quot;$&quot;* #,##0.00_);_(&quot;$&quot;* \(#,##0.00\);_(&quot;$&quot;* &quot;-&quot;??_);_(@_)"/>
  </numFmts>
  <fonts count="59">
    <font>
      <sz val="11"/>
      <color theme="1" tint="0.2499465926084170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24"/>
      <color theme="3"/>
      <name val="Corbel"/>
      <family val="2"/>
      <scheme val="major"/>
    </font>
    <font>
      <sz val="14"/>
      <color theme="3"/>
      <name val="Corbel"/>
      <family val="2"/>
      <scheme val="minor"/>
    </font>
    <font>
      <sz val="11"/>
      <color theme="1" tint="0.24994659260841701"/>
      <name val="Corbel"/>
      <family val="2"/>
      <scheme val="minor"/>
    </font>
    <font>
      <sz val="11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10"/>
      <color theme="1" tint="0.14999847407452621"/>
      <name val="Corbel"/>
      <family val="2"/>
      <scheme val="minor"/>
    </font>
    <font>
      <sz val="28"/>
      <color theme="2" tint="-0.749992370372631"/>
      <name val="Corbel"/>
      <family val="2"/>
      <scheme val="major"/>
    </font>
    <font>
      <sz val="32"/>
      <color theme="2" tint="-0.749992370372631"/>
      <name val="Corbel"/>
      <family val="2"/>
      <scheme val="major"/>
    </font>
    <font>
      <sz val="16"/>
      <color theme="2" tint="-0.499984740745262"/>
      <name val="Corbel"/>
      <family val="2"/>
      <scheme val="major"/>
    </font>
    <font>
      <sz val="20"/>
      <color theme="2" tint="-0.749992370372631"/>
      <name val="Corbel"/>
      <family val="2"/>
      <scheme val="minor"/>
    </font>
    <font>
      <sz val="14"/>
      <color theme="2" tint="-0.749992370372631"/>
      <name val="Corbel"/>
      <family val="2"/>
      <scheme val="minor"/>
    </font>
    <font>
      <sz val="11"/>
      <color theme="8" tint="0.89992980742820516"/>
      <name val="Corbel"/>
      <family val="2"/>
      <scheme val="minor"/>
    </font>
    <font>
      <sz val="11"/>
      <color theme="3"/>
      <name val="Corbel"/>
      <family val="2"/>
      <scheme val="minor"/>
    </font>
    <font>
      <b/>
      <sz val="11"/>
      <color theme="1"/>
      <name val="Corbel"/>
      <family val="2"/>
      <charset val="128"/>
      <scheme val="major"/>
    </font>
    <font>
      <sz val="36"/>
      <color theme="8"/>
      <name val="Corbel"/>
      <family val="2"/>
      <scheme val="major"/>
    </font>
    <font>
      <sz val="36"/>
      <color theme="8"/>
      <name val="Corbel"/>
      <family val="2"/>
      <scheme val="minor"/>
    </font>
    <font>
      <b/>
      <sz val="36"/>
      <color theme="4" tint="-0.249977111117893"/>
      <name val="Corbel"/>
      <family val="2"/>
      <charset val="128"/>
      <scheme val="major"/>
    </font>
    <font>
      <sz val="28"/>
      <color theme="8"/>
      <name val="Corbel"/>
      <family val="2"/>
      <scheme val="minor"/>
    </font>
    <font>
      <b/>
      <sz val="22"/>
      <color theme="3" tint="9.9978637043366805E-2"/>
      <name val="Corbel"/>
      <family val="2"/>
      <charset val="128"/>
      <scheme val="major"/>
    </font>
    <font>
      <sz val="36"/>
      <color theme="1"/>
      <name val="Corbel"/>
      <family val="2"/>
      <scheme val="minor"/>
    </font>
    <font>
      <b/>
      <sz val="11"/>
      <color theme="3"/>
      <name val="Corbel"/>
      <family val="2"/>
      <scheme val="minor"/>
    </font>
    <font>
      <b/>
      <sz val="20"/>
      <color theme="3"/>
      <name val="Corbel"/>
      <family val="2"/>
      <charset val="128"/>
      <scheme val="major"/>
    </font>
    <font>
      <b/>
      <sz val="20"/>
      <color theme="1"/>
      <name val="Corbel"/>
      <family val="2"/>
      <charset val="128"/>
      <scheme val="major"/>
    </font>
    <font>
      <b/>
      <sz val="11"/>
      <color theme="3" tint="0.59999389629810485"/>
      <name val="Corbel"/>
      <family val="2"/>
      <charset val="128"/>
      <scheme val="major"/>
    </font>
    <font>
      <sz val="11"/>
      <color theme="1"/>
      <name val="Corbel"/>
      <family val="2"/>
      <scheme val="major"/>
    </font>
    <font>
      <sz val="11"/>
      <name val="Corbel"/>
      <family val="2"/>
      <scheme val="major"/>
    </font>
    <font>
      <sz val="16"/>
      <color theme="1"/>
      <name val="Corbel"/>
      <family val="2"/>
      <scheme val="minor"/>
    </font>
    <font>
      <sz val="16"/>
      <color theme="1"/>
      <name val="Corbel"/>
      <family val="2"/>
      <scheme val="major"/>
    </font>
    <font>
      <b/>
      <sz val="11"/>
      <color theme="0"/>
      <name val="Corbel"/>
      <family val="2"/>
      <scheme val="major"/>
    </font>
    <font>
      <b/>
      <sz val="28"/>
      <color theme="0"/>
      <name val="Corbel"/>
      <family val="2"/>
      <scheme val="major"/>
    </font>
    <font>
      <b/>
      <sz val="36"/>
      <color theme="1"/>
      <name val="Corbel"/>
      <family val="2"/>
      <scheme val="major"/>
    </font>
    <font>
      <sz val="36"/>
      <color theme="4" tint="-0.24994659260841701"/>
      <name val="Corbel"/>
      <family val="2"/>
      <scheme val="minor"/>
    </font>
    <font>
      <sz val="36"/>
      <color theme="1"/>
      <name val="Corbel"/>
      <family val="2"/>
      <scheme val="major"/>
    </font>
    <font>
      <sz val="36"/>
      <color theme="4" tint="-0.24994659260841701"/>
      <name val="Corbel"/>
      <family val="2"/>
      <scheme val="major"/>
    </font>
    <font>
      <sz val="10"/>
      <name val="Corbel"/>
      <family val="2"/>
      <scheme val="major"/>
    </font>
    <font>
      <sz val="36"/>
      <name val="Corbel"/>
      <family val="2"/>
      <scheme val="major"/>
    </font>
    <font>
      <sz val="11"/>
      <color theme="1" tint="0.14999847407452621"/>
      <name val="Corbel"/>
      <family val="1"/>
      <scheme val="minor"/>
    </font>
    <font>
      <b/>
      <sz val="11"/>
      <color theme="1"/>
      <name val="Corbel"/>
      <family val="1"/>
      <scheme val="minor"/>
    </font>
    <font>
      <b/>
      <sz val="13"/>
      <color theme="1"/>
      <name val="Corbel"/>
      <family val="2"/>
      <scheme val="major"/>
    </font>
    <font>
      <sz val="11"/>
      <color theme="1"/>
      <name val="Corbel"/>
      <family val="1"/>
      <scheme val="minor"/>
    </font>
    <font>
      <sz val="13"/>
      <color theme="1"/>
      <name val="Corbel"/>
      <family val="2"/>
      <scheme val="major"/>
    </font>
    <font>
      <sz val="12"/>
      <color theme="1" tint="0.14999847407452621"/>
      <name val="Corbel"/>
      <family val="2"/>
      <scheme val="major"/>
    </font>
    <font>
      <b/>
      <sz val="12"/>
      <color theme="1"/>
      <name val="Corbel"/>
      <family val="2"/>
      <scheme val="major"/>
    </font>
    <font>
      <sz val="12"/>
      <color theme="1"/>
      <name val="Corbel"/>
      <family val="2"/>
      <scheme val="major"/>
    </font>
    <font>
      <sz val="10"/>
      <color theme="1" tint="0.34998626667073579"/>
      <name val="Corbel"/>
      <family val="2"/>
      <scheme val="major"/>
    </font>
    <font>
      <sz val="28"/>
      <color theme="1" tint="0.14999847407452621"/>
      <name val="Corbel"/>
      <family val="2"/>
      <scheme val="major"/>
    </font>
    <font>
      <b/>
      <sz val="28"/>
      <color theme="5" tint="-0.499984740745262"/>
      <name val="Corbel"/>
      <family val="2"/>
      <scheme val="major"/>
    </font>
    <font>
      <sz val="18"/>
      <color theme="1"/>
      <name val="Corbel"/>
      <family val="2"/>
      <scheme val="major"/>
    </font>
    <font>
      <sz val="8"/>
      <color theme="1" tint="0.14999847407452621"/>
      <name val="Corbel"/>
      <family val="1"/>
      <scheme val="minor"/>
    </font>
    <font>
      <sz val="8"/>
      <name val="Corbel"/>
      <family val="2"/>
      <scheme val="minor"/>
    </font>
    <font>
      <sz val="11"/>
      <color theme="1" tint="0.14999847407452621"/>
      <name val="Corbel"/>
      <scheme val="minor"/>
    </font>
    <font>
      <sz val="11"/>
      <color theme="1" tint="0.14999847407452621"/>
      <name val="Corbe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rgb="FFC0C0C0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rgb="FFB2B2B2"/>
      </left>
      <right style="medium">
        <color rgb="FFB2B2B2"/>
      </right>
      <top style="medium">
        <color rgb="FFB2B2B2"/>
      </top>
      <bottom style="medium">
        <color rgb="FFB2B2B2"/>
      </bottom>
      <diagonal/>
    </border>
    <border>
      <left/>
      <right/>
      <top/>
      <bottom style="medium">
        <color theme="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thick">
        <color theme="0"/>
      </right>
      <top/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4" tint="0.59996337778862885"/>
      </left>
      <right style="thin">
        <color theme="0" tint="-4.9989318521683403E-2"/>
      </right>
      <top/>
      <bottom/>
      <diagonal/>
    </border>
    <border>
      <left style="thin">
        <color theme="0"/>
      </left>
      <right style="thin">
        <color theme="4" tint="0.59996337778862885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ck">
        <color auto="1"/>
      </bottom>
      <diagonal/>
    </border>
  </borders>
  <cellStyleXfs count="25">
    <xf numFmtId="0" fontId="0" fillId="0" borderId="0"/>
    <xf numFmtId="0" fontId="7" fillId="0" borderId="0" applyNumberFormat="0" applyFill="0" applyProtection="0"/>
    <xf numFmtId="0" fontId="8" fillId="0" borderId="0" applyNumberFormat="0" applyFill="0" applyProtection="0">
      <alignment horizontal="right"/>
    </xf>
    <xf numFmtId="164" fontId="10" fillId="0" borderId="2" applyFill="0" applyAlignment="0"/>
    <xf numFmtId="165" fontId="10" fillId="0" borderId="2" applyFill="0" applyAlignment="0"/>
    <xf numFmtId="0" fontId="8" fillId="0" borderId="4" applyNumberFormat="0" applyFill="0" applyAlignment="0" applyProtection="0"/>
    <xf numFmtId="166" fontId="4" fillId="0" borderId="0" applyFill="0" applyBorder="0" applyAlignment="0" applyProtection="0"/>
    <xf numFmtId="0" fontId="9" fillId="0" borderId="3" applyNumberFormat="0" applyFont="0" applyAlignment="0" applyProtection="0"/>
    <xf numFmtId="0" fontId="2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21" fillId="0" borderId="0" applyNumberFormat="0" applyFill="0" applyBorder="0" applyProtection="0"/>
    <xf numFmtId="0" fontId="19" fillId="2" borderId="0" applyNumberFormat="0" applyBorder="0" applyAlignment="0" applyProtection="0"/>
    <xf numFmtId="0" fontId="27" fillId="0" borderId="0" applyNumberFormat="0" applyFill="0" applyBorder="0" applyProtection="0">
      <alignment horizontal="left"/>
    </xf>
    <xf numFmtId="169" fontId="2" fillId="0" borderId="0" applyFont="0" applyFill="0" applyBorder="0" applyProtection="0">
      <alignment horizontal="right"/>
    </xf>
    <xf numFmtId="0" fontId="19" fillId="0" borderId="0" applyNumberFormat="0" applyFill="0" applyBorder="0" applyProtection="0">
      <alignment horizontal="left" indent="1"/>
    </xf>
    <xf numFmtId="0" fontId="10" fillId="0" borderId="0" applyFill="0" applyBorder="0" applyProtection="0"/>
    <xf numFmtId="171" fontId="2" fillId="0" borderId="0" applyNumberFormat="0" applyFill="0" applyProtection="0">
      <alignment horizontal="left" vertical="top" wrapText="1" indent="1"/>
    </xf>
    <xf numFmtId="171" fontId="31" fillId="0" borderId="7" applyFill="0" applyProtection="0">
      <alignment horizontal="left" vertical="top" wrapText="1" indent="1"/>
    </xf>
    <xf numFmtId="171" fontId="10" fillId="0" borderId="9" applyNumberFormat="0" applyFill="0" applyProtection="0">
      <alignment horizontal="left" vertical="center" wrapText="1" indent="1"/>
    </xf>
    <xf numFmtId="171" fontId="33" fillId="0" borderId="10" applyFill="0" applyProtection="0">
      <alignment horizontal="left" vertical="center" wrapText="1" indent="1"/>
    </xf>
    <xf numFmtId="0" fontId="35" fillId="10" borderId="15" applyNumberFormat="0" applyProtection="0">
      <alignment horizontal="left" vertical="center" indent="1"/>
    </xf>
    <xf numFmtId="0" fontId="35" fillId="12" borderId="15" applyNumberFormat="0" applyProtection="0">
      <alignment horizontal="left" indent="1"/>
    </xf>
    <xf numFmtId="0" fontId="36" fillId="12" borderId="0" applyNumberFormat="0" applyBorder="0" applyProtection="0">
      <alignment horizontal="center"/>
    </xf>
    <xf numFmtId="0" fontId="38" fillId="0" borderId="0" applyNumberFormat="0" applyFill="0" applyProtection="0">
      <alignment horizontal="left" indent="3"/>
    </xf>
  </cellStyleXfs>
  <cellXfs count="184">
    <xf numFmtId="0" fontId="0" fillId="0" borderId="0" xfId="0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vertical="top"/>
    </xf>
    <xf numFmtId="164" fontId="10" fillId="0" borderId="2" xfId="3" applyAlignment="1">
      <alignment horizontal="center" vertical="center"/>
    </xf>
    <xf numFmtId="164" fontId="10" fillId="0" borderId="2" xfId="3" quotePrefix="1" applyAlignment="1">
      <alignment horizontal="center" vertical="center"/>
    </xf>
    <xf numFmtId="165" fontId="10" fillId="0" borderId="2" xfId="4" applyAlignment="1">
      <alignment horizontal="center" vertical="center"/>
    </xf>
    <xf numFmtId="166" fontId="4" fillId="0" borderId="0" xfId="6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wrapText="1"/>
    </xf>
    <xf numFmtId="167" fontId="3" fillId="0" borderId="0" xfId="0" applyNumberFormat="1" applyFont="1"/>
    <xf numFmtId="0" fontId="2" fillId="0" borderId="0" xfId="8"/>
    <xf numFmtId="0" fontId="2" fillId="0" borderId="0" xfId="8" applyAlignment="1">
      <alignment horizontal="center"/>
    </xf>
    <xf numFmtId="0" fontId="17" fillId="0" borderId="5" xfId="8" applyFont="1" applyBorder="1" applyAlignment="1">
      <alignment horizontal="left" vertical="center" wrapText="1"/>
    </xf>
    <xf numFmtId="0" fontId="17" fillId="0" borderId="0" xfId="8" applyFont="1" applyAlignment="1">
      <alignment horizontal="left" vertical="center" wrapText="1"/>
    </xf>
    <xf numFmtId="0" fontId="17" fillId="0" borderId="0" xfId="8" applyFont="1" applyAlignment="1">
      <alignment horizontal="center" vertical="center" wrapText="1"/>
    </xf>
    <xf numFmtId="0" fontId="17" fillId="0" borderId="5" xfId="8" applyFont="1" applyBorder="1" applyAlignment="1">
      <alignment horizontal="center" vertical="center" wrapText="1"/>
    </xf>
    <xf numFmtId="0" fontId="15" fillId="2" borderId="0" xfId="8" applyFont="1" applyFill="1" applyAlignment="1">
      <alignment horizontal="center" vertical="center"/>
    </xf>
    <xf numFmtId="0" fontId="16" fillId="0" borderId="0" xfId="8" applyFont="1" applyAlignment="1">
      <alignment horizontal="center" vertical="center"/>
    </xf>
    <xf numFmtId="0" fontId="16" fillId="0" borderId="0" xfId="8" applyFont="1" applyAlignment="1">
      <alignment vertical="center"/>
    </xf>
    <xf numFmtId="0" fontId="15" fillId="0" borderId="0" xfId="8" applyFont="1" applyAlignment="1">
      <alignment horizontal="center" vertical="center"/>
    </xf>
    <xf numFmtId="0" fontId="13" fillId="0" borderId="0" xfId="8" applyFont="1" applyAlignment="1">
      <alignment vertical="center"/>
    </xf>
    <xf numFmtId="0" fontId="14" fillId="0" borderId="0" xfId="8" applyFont="1" applyAlignment="1">
      <alignment horizontal="center" vertical="center"/>
    </xf>
    <xf numFmtId="0" fontId="12" fillId="0" borderId="0" xfId="8" applyFont="1"/>
    <xf numFmtId="0" fontId="19" fillId="0" borderId="0" xfId="9" applyFont="1" applyFill="1" applyAlignment="1"/>
    <xf numFmtId="0" fontId="19" fillId="0" borderId="0" xfId="9" applyFont="1" applyFill="1" applyAlignment="1">
      <alignment horizontal="left"/>
    </xf>
    <xf numFmtId="167" fontId="20" fillId="0" borderId="0" xfId="10" applyNumberFormat="1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19" fillId="0" borderId="0" xfId="10" applyFill="1"/>
    <xf numFmtId="0" fontId="19" fillId="4" borderId="0" xfId="9" applyFont="1" applyFill="1" applyAlignment="1">
      <alignment horizontal="left"/>
    </xf>
    <xf numFmtId="167" fontId="20" fillId="4" borderId="0" xfId="10" applyNumberFormat="1" applyFont="1" applyFill="1" applyAlignment="1">
      <alignment horizontal="left"/>
    </xf>
    <xf numFmtId="0" fontId="22" fillId="0" borderId="0" xfId="11" applyFont="1" applyFill="1"/>
    <xf numFmtId="0" fontId="23" fillId="0" borderId="0" xfId="12" applyFont="1" applyFill="1" applyAlignment="1">
      <alignment horizontal="left"/>
    </xf>
    <xf numFmtId="0" fontId="24" fillId="0" borderId="0" xfId="12" applyFont="1" applyFill="1" applyAlignment="1">
      <alignment horizontal="left"/>
    </xf>
    <xf numFmtId="0" fontId="22" fillId="0" borderId="0" xfId="12" applyFont="1" applyFill="1" applyAlignment="1">
      <alignment horizontal="left"/>
    </xf>
    <xf numFmtId="167" fontId="25" fillId="0" borderId="0" xfId="10" applyNumberFormat="1" applyFont="1" applyFill="1" applyAlignment="1">
      <alignment horizontal="left"/>
    </xf>
    <xf numFmtId="0" fontId="26" fillId="0" borderId="0" xfId="11" applyFont="1" applyFill="1" applyAlignment="1">
      <alignment horizontal="left"/>
    </xf>
    <xf numFmtId="0" fontId="19" fillId="0" borderId="0" xfId="12" applyFill="1" applyAlignment="1">
      <alignment vertical="center"/>
    </xf>
    <xf numFmtId="0" fontId="19" fillId="0" borderId="0" xfId="10" applyFill="1" applyAlignment="1">
      <alignment horizontal="left" vertical="center" indent="1"/>
    </xf>
    <xf numFmtId="0" fontId="19" fillId="0" borderId="0" xfId="12" applyFill="1" applyAlignment="1">
      <alignment horizontal="left" vertical="center"/>
    </xf>
    <xf numFmtId="0" fontId="20" fillId="5" borderId="0" xfId="10" applyFont="1" applyFill="1" applyAlignment="1">
      <alignment horizontal="left" indent="1"/>
    </xf>
    <xf numFmtId="0" fontId="2" fillId="0" borderId="0" xfId="10" applyFont="1" applyFill="1" applyAlignment="1">
      <alignment horizontal="left" vertical="center" indent="1"/>
    </xf>
    <xf numFmtId="0" fontId="19" fillId="0" borderId="0" xfId="10" applyFill="1" applyAlignment="1">
      <alignment vertical="center"/>
    </xf>
    <xf numFmtId="168" fontId="2" fillId="0" borderId="0" xfId="10" applyNumberFormat="1" applyFont="1" applyFill="1" applyAlignment="1">
      <alignment horizontal="left" vertical="center"/>
    </xf>
    <xf numFmtId="0" fontId="2" fillId="0" borderId="0" xfId="13" applyFont="1" applyFill="1" applyAlignment="1">
      <alignment horizontal="left" vertical="center" indent="1"/>
    </xf>
    <xf numFmtId="0" fontId="2" fillId="0" borderId="0" xfId="12" applyFont="1" applyFill="1" applyAlignment="1">
      <alignment horizontal="left" vertical="center" indent="1"/>
    </xf>
    <xf numFmtId="169" fontId="2" fillId="0" borderId="0" xfId="14" applyFont="1" applyFill="1" applyAlignment="1">
      <alignment horizontal="left" vertical="center" indent="1"/>
    </xf>
    <xf numFmtId="169" fontId="11" fillId="0" borderId="0" xfId="14" applyFont="1" applyFill="1" applyAlignment="1">
      <alignment horizontal="left" vertical="center" indent="1"/>
    </xf>
    <xf numFmtId="0" fontId="2" fillId="0" borderId="0" xfId="15" applyFont="1" applyFill="1" applyAlignment="1">
      <alignment horizontal="left" vertical="center" indent="1"/>
    </xf>
    <xf numFmtId="170" fontId="28" fillId="5" borderId="0" xfId="10" applyNumberFormat="1" applyFont="1" applyFill="1" applyBorder="1" applyAlignment="1">
      <alignment horizontal="left" indent="1"/>
    </xf>
    <xf numFmtId="0" fontId="2" fillId="0" borderId="0" xfId="10" applyFont="1" applyFill="1" applyBorder="1" applyAlignment="1">
      <alignment horizontal="left" vertical="center" indent="1"/>
    </xf>
    <xf numFmtId="167" fontId="20" fillId="0" borderId="0" xfId="10" applyNumberFormat="1" applyFont="1" applyFill="1" applyAlignment="1">
      <alignment horizontal="left" indent="1"/>
    </xf>
    <xf numFmtId="0" fontId="20" fillId="6" borderId="0" xfId="10" applyFont="1" applyFill="1" applyAlignment="1">
      <alignment horizontal="left" indent="1"/>
    </xf>
    <xf numFmtId="170" fontId="28" fillId="6" borderId="0" xfId="10" applyNumberFormat="1" applyFont="1" applyFill="1" applyAlignment="1">
      <alignment horizontal="left" indent="1"/>
    </xf>
    <xf numFmtId="0" fontId="20" fillId="7" borderId="0" xfId="10" applyFont="1" applyFill="1" applyAlignment="1">
      <alignment horizontal="left" indent="1"/>
    </xf>
    <xf numFmtId="170" fontId="28" fillId="7" borderId="0" xfId="10" applyNumberFormat="1" applyFont="1" applyFill="1" applyAlignment="1">
      <alignment horizontal="left" indent="1"/>
    </xf>
    <xf numFmtId="0" fontId="20" fillId="4" borderId="0" xfId="10" applyFont="1" applyFill="1" applyAlignment="1">
      <alignment horizontal="left" indent="1"/>
    </xf>
    <xf numFmtId="170" fontId="28" fillId="4" borderId="0" xfId="10" applyNumberFormat="1" applyFont="1" applyFill="1" applyAlignment="1">
      <alignment horizontal="left" indent="1"/>
    </xf>
    <xf numFmtId="0" fontId="20" fillId="8" borderId="0" xfId="10" applyFont="1" applyFill="1" applyAlignment="1">
      <alignment horizontal="left" indent="1"/>
    </xf>
    <xf numFmtId="170" fontId="28" fillId="8" borderId="0" xfId="10" applyNumberFormat="1" applyFont="1" applyFill="1" applyAlignment="1">
      <alignment horizontal="left" indent="1"/>
    </xf>
    <xf numFmtId="0" fontId="20" fillId="9" borderId="0" xfId="10" applyFont="1" applyFill="1" applyBorder="1" applyAlignment="1">
      <alignment horizontal="left" indent="1"/>
    </xf>
    <xf numFmtId="170" fontId="29" fillId="9" borderId="0" xfId="10" applyNumberFormat="1" applyFont="1" applyFill="1" applyBorder="1" applyAlignment="1">
      <alignment horizontal="left" indent="1"/>
    </xf>
    <xf numFmtId="0" fontId="30" fillId="0" borderId="0" xfId="10" applyFont="1" applyFill="1" applyAlignment="1">
      <alignment horizontal="left" vertical="center"/>
    </xf>
    <xf numFmtId="0" fontId="2" fillId="0" borderId="0" xfId="10" applyFont="1" applyFill="1" applyAlignment="1">
      <alignment horizontal="left" vertical="center"/>
    </xf>
    <xf numFmtId="0" fontId="19" fillId="0" borderId="0" xfId="12" applyFill="1"/>
    <xf numFmtId="0" fontId="19" fillId="0" borderId="0" xfId="12" applyFill="1" applyAlignment="1">
      <alignment horizontal="left"/>
    </xf>
    <xf numFmtId="0" fontId="30" fillId="0" borderId="0" xfId="10" applyFont="1" applyFill="1" applyAlignment="1">
      <alignment horizontal="left"/>
    </xf>
    <xf numFmtId="0" fontId="10" fillId="0" borderId="0" xfId="16"/>
    <xf numFmtId="0" fontId="2" fillId="0" borderId="8" xfId="18" applyNumberFormat="1" applyFont="1" applyFill="1" applyBorder="1">
      <alignment horizontal="left" vertical="top" wrapText="1" indent="1"/>
    </xf>
    <xf numFmtId="0" fontId="32" fillId="0" borderId="0" xfId="16" applyFont="1"/>
    <xf numFmtId="171" fontId="34" fillId="0" borderId="10" xfId="20" applyFont="1" applyFill="1">
      <alignment horizontal="left" vertical="center" wrapText="1" indent="1"/>
    </xf>
    <xf numFmtId="0" fontId="2" fillId="0" borderId="11" xfId="18" applyNumberFormat="1" applyFont="1" applyFill="1" applyBorder="1">
      <alignment horizontal="left" vertical="top" wrapText="1" indent="1"/>
    </xf>
    <xf numFmtId="0" fontId="2" fillId="0" borderId="7" xfId="18" applyNumberFormat="1" applyFont="1" applyFill="1">
      <alignment horizontal="left" vertical="top" wrapText="1" indent="1"/>
    </xf>
    <xf numFmtId="171" fontId="34" fillId="0" borderId="12" xfId="20" applyFont="1" applyFill="1" applyBorder="1">
      <alignment horizontal="left" vertical="center" wrapText="1" indent="1"/>
    </xf>
    <xf numFmtId="0" fontId="2" fillId="0" borderId="13" xfId="18" applyNumberFormat="1" applyFont="1" applyFill="1" applyBorder="1">
      <alignment horizontal="left" vertical="top" wrapText="1" indent="1"/>
    </xf>
    <xf numFmtId="171" fontId="34" fillId="0" borderId="13" xfId="20" applyFont="1" applyFill="1" applyBorder="1">
      <alignment horizontal="left" vertical="center" wrapText="1" indent="1"/>
    </xf>
    <xf numFmtId="171" fontId="34" fillId="0" borderId="14" xfId="20" applyFont="1" applyFill="1" applyBorder="1">
      <alignment horizontal="left" vertical="center" wrapText="1" indent="1"/>
    </xf>
    <xf numFmtId="0" fontId="35" fillId="11" borderId="16" xfId="21" applyFill="1" applyBorder="1">
      <alignment horizontal="left" vertical="center" indent="1"/>
    </xf>
    <xf numFmtId="0" fontId="35" fillId="11" borderId="17" xfId="22" applyFill="1" applyBorder="1" applyAlignment="1">
      <alignment horizontal="left" vertical="center" indent="1"/>
    </xf>
    <xf numFmtId="0" fontId="35" fillId="11" borderId="17" xfId="21" applyFill="1" applyBorder="1">
      <alignment horizontal="left" vertical="center" indent="1"/>
    </xf>
    <xf numFmtId="0" fontId="35" fillId="11" borderId="14" xfId="21" applyFill="1" applyBorder="1">
      <alignment horizontal="left" vertical="center" indent="1"/>
    </xf>
    <xf numFmtId="0" fontId="37" fillId="0" borderId="0" xfId="23" applyFont="1" applyFill="1" applyAlignment="1">
      <alignment horizontal="right" vertical="center"/>
    </xf>
    <xf numFmtId="0" fontId="32" fillId="13" borderId="0" xfId="16" applyFont="1" applyFill="1" applyBorder="1"/>
    <xf numFmtId="0" fontId="39" fillId="0" borderId="0" xfId="24" applyFont="1" applyAlignment="1">
      <alignment horizontal="left" vertical="center"/>
    </xf>
    <xf numFmtId="0" fontId="10" fillId="0" borderId="0" xfId="16" applyBorder="1"/>
    <xf numFmtId="0" fontId="2" fillId="0" borderId="0" xfId="17" applyNumberFormat="1">
      <alignment horizontal="left" vertical="top" wrapText="1" indent="1"/>
    </xf>
    <xf numFmtId="0" fontId="2" fillId="0" borderId="0" xfId="18" applyNumberFormat="1" applyFont="1" applyFill="1" applyBorder="1">
      <alignment horizontal="left" vertical="top" wrapText="1" indent="1"/>
    </xf>
    <xf numFmtId="0" fontId="40" fillId="0" borderId="0" xfId="24" applyFont="1">
      <alignment horizontal="left" indent="3"/>
    </xf>
    <xf numFmtId="0" fontId="41" fillId="0" borderId="0" xfId="16" applyFont="1"/>
    <xf numFmtId="0" fontId="39" fillId="0" borderId="0" xfId="24" applyFont="1">
      <alignment horizontal="left" indent="3"/>
    </xf>
    <xf numFmtId="0" fontId="39" fillId="0" borderId="0" xfId="24" applyFont="1" applyAlignment="1">
      <alignment vertical="center"/>
    </xf>
    <xf numFmtId="0" fontId="32" fillId="13" borderId="0" xfId="16" applyFont="1" applyFill="1"/>
    <xf numFmtId="0" fontId="40" fillId="0" borderId="0" xfId="24" applyFont="1" applyAlignment="1">
      <alignment horizontal="left" vertical="center"/>
    </xf>
    <xf numFmtId="0" fontId="42" fillId="0" borderId="0" xfId="16" applyFont="1" applyFill="1" applyBorder="1" applyAlignment="1">
      <alignment vertical="center"/>
    </xf>
    <xf numFmtId="0" fontId="40" fillId="0" borderId="0" xfId="24" applyFont="1" applyFill="1" applyAlignment="1">
      <alignment horizontal="left" vertical="center"/>
    </xf>
    <xf numFmtId="0" fontId="42" fillId="0" borderId="0" xfId="16" applyFont="1" applyFill="1" applyAlignment="1">
      <alignment vertical="center"/>
    </xf>
    <xf numFmtId="0" fontId="39" fillId="0" borderId="0" xfId="24" applyFont="1" applyFill="1" applyAlignment="1">
      <alignment horizontal="left" vertical="center"/>
    </xf>
    <xf numFmtId="0" fontId="2" fillId="0" borderId="19" xfId="18" applyNumberFormat="1" applyFont="1" applyFill="1" applyBorder="1">
      <alignment horizontal="left" vertical="top" wrapText="1" indent="1"/>
    </xf>
    <xf numFmtId="0" fontId="2" fillId="0" borderId="18" xfId="18" applyNumberFormat="1" applyFont="1" applyFill="1" applyBorder="1">
      <alignment horizontal="left" vertical="top" wrapText="1" indent="1"/>
    </xf>
    <xf numFmtId="0" fontId="35" fillId="11" borderId="20" xfId="21" applyFill="1" applyBorder="1">
      <alignment horizontal="left" vertical="center" indent="1"/>
    </xf>
    <xf numFmtId="0" fontId="35" fillId="11" borderId="21" xfId="22" applyFill="1" applyBorder="1" applyAlignment="1">
      <alignment horizontal="left" vertical="center" indent="1"/>
    </xf>
    <xf numFmtId="0" fontId="35" fillId="11" borderId="21" xfId="21" applyFill="1" applyBorder="1">
      <alignment horizontal="left" vertical="center" indent="1"/>
    </xf>
    <xf numFmtId="0" fontId="35" fillId="11" borderId="22" xfId="21" applyFill="1" applyBorder="1">
      <alignment horizontal="left" vertical="center" indent="1"/>
    </xf>
    <xf numFmtId="0" fontId="43" fillId="0" borderId="0" xfId="8" applyFont="1" applyAlignment="1">
      <alignment horizontal="left" vertical="center"/>
    </xf>
    <xf numFmtId="172" fontId="43" fillId="0" borderId="0" xfId="8" applyNumberFormat="1" applyFont="1" applyAlignment="1">
      <alignment horizontal="left" vertical="center"/>
    </xf>
    <xf numFmtId="0" fontId="43" fillId="0" borderId="0" xfId="8" applyFont="1" applyAlignment="1">
      <alignment horizontal="left" vertical="center" indent="2"/>
    </xf>
    <xf numFmtId="0" fontId="43" fillId="0" borderId="0" xfId="8" applyFont="1" applyAlignment="1">
      <alignment horizontal="center" vertical="center"/>
    </xf>
    <xf numFmtId="0" fontId="43" fillId="14" borderId="0" xfId="8" applyFont="1" applyFill="1" applyAlignment="1">
      <alignment horizontal="left" vertical="center"/>
    </xf>
    <xf numFmtId="172" fontId="43" fillId="14" borderId="0" xfId="8" applyNumberFormat="1" applyFont="1" applyFill="1" applyAlignment="1">
      <alignment horizontal="left" vertical="center"/>
    </xf>
    <xf numFmtId="172" fontId="43" fillId="14" borderId="23" xfId="8" applyNumberFormat="1" applyFont="1" applyFill="1" applyBorder="1" applyAlignment="1">
      <alignment horizontal="left" vertical="center"/>
    </xf>
    <xf numFmtId="0" fontId="43" fillId="14" borderId="0" xfId="8" applyFont="1" applyFill="1" applyAlignment="1">
      <alignment horizontal="left" vertical="center" indent="2"/>
    </xf>
    <xf numFmtId="0" fontId="43" fillId="14" borderId="0" xfId="8" applyFont="1" applyFill="1" applyAlignment="1">
      <alignment horizontal="center" vertical="center"/>
    </xf>
    <xf numFmtId="172" fontId="44" fillId="15" borderId="24" xfId="8" applyNumberFormat="1" applyFont="1" applyFill="1" applyBorder="1" applyAlignment="1">
      <alignment horizontal="left" vertical="center"/>
    </xf>
    <xf numFmtId="172" fontId="44" fillId="15" borderId="0" xfId="8" applyNumberFormat="1" applyFont="1" applyFill="1" applyAlignment="1">
      <alignment horizontal="left" vertical="center"/>
    </xf>
    <xf numFmtId="172" fontId="44" fillId="15" borderId="25" xfId="8" applyNumberFormat="1" applyFont="1" applyFill="1" applyBorder="1" applyAlignment="1">
      <alignment horizontal="left" vertical="center"/>
    </xf>
    <xf numFmtId="172" fontId="44" fillId="0" borderId="25" xfId="8" applyNumberFormat="1" applyFont="1" applyBorder="1" applyAlignment="1">
      <alignment horizontal="left" vertical="center"/>
    </xf>
    <xf numFmtId="172" fontId="44" fillId="0" borderId="23" xfId="8" applyNumberFormat="1" applyFont="1" applyBorder="1" applyAlignment="1">
      <alignment horizontal="left" vertical="center"/>
    </xf>
    <xf numFmtId="172" fontId="44" fillId="15" borderId="26" xfId="8" applyNumberFormat="1" applyFont="1" applyFill="1" applyBorder="1" applyAlignment="1">
      <alignment horizontal="left" vertical="center"/>
    </xf>
    <xf numFmtId="0" fontId="45" fillId="15" borderId="0" xfId="8" applyFont="1" applyFill="1" applyAlignment="1">
      <alignment horizontal="left" vertical="center" indent="1"/>
    </xf>
    <xf numFmtId="172" fontId="43" fillId="14" borderId="25" xfId="8" applyNumberFormat="1" applyFont="1" applyFill="1" applyBorder="1" applyAlignment="1">
      <alignment horizontal="left" vertical="center"/>
    </xf>
    <xf numFmtId="172" fontId="43" fillId="14" borderId="26" xfId="8" applyNumberFormat="1" applyFont="1" applyFill="1" applyBorder="1" applyAlignment="1">
      <alignment horizontal="left" vertical="center"/>
    </xf>
    <xf numFmtId="172" fontId="43" fillId="0" borderId="25" xfId="8" applyNumberFormat="1" applyFont="1" applyBorder="1" applyAlignment="1">
      <alignment horizontal="left" vertical="center"/>
    </xf>
    <xf numFmtId="172" fontId="43" fillId="0" borderId="23" xfId="8" applyNumberFormat="1" applyFont="1" applyBorder="1" applyAlignment="1">
      <alignment horizontal="left" vertical="center"/>
    </xf>
    <xf numFmtId="172" fontId="43" fillId="0" borderId="26" xfId="8" applyNumberFormat="1" applyFont="1" applyBorder="1" applyAlignment="1">
      <alignment horizontal="left" vertical="center"/>
    </xf>
    <xf numFmtId="0" fontId="43" fillId="0" borderId="0" xfId="8" applyFont="1" applyAlignment="1">
      <alignment horizontal="left" vertical="center" indent="1"/>
    </xf>
    <xf numFmtId="0" fontId="46" fillId="0" borderId="0" xfId="8" applyFont="1" applyAlignment="1">
      <alignment horizontal="left" vertical="center"/>
    </xf>
    <xf numFmtId="0" fontId="46" fillId="14" borderId="0" xfId="8" applyFont="1" applyFill="1" applyAlignment="1">
      <alignment horizontal="left" vertical="center"/>
    </xf>
    <xf numFmtId="172" fontId="46" fillId="16" borderId="27" xfId="8" applyNumberFormat="1" applyFont="1" applyFill="1" applyBorder="1" applyAlignment="1">
      <alignment horizontal="left" vertical="center"/>
    </xf>
    <xf numFmtId="172" fontId="46" fillId="16" borderId="28" xfId="8" applyNumberFormat="1" applyFont="1" applyFill="1" applyBorder="1" applyAlignment="1">
      <alignment horizontal="left" vertical="center"/>
    </xf>
    <xf numFmtId="172" fontId="46" fillId="16" borderId="29" xfId="8" applyNumberFormat="1" applyFont="1" applyFill="1" applyBorder="1" applyAlignment="1">
      <alignment horizontal="left" vertical="center"/>
    </xf>
    <xf numFmtId="172" fontId="46" fillId="16" borderId="30" xfId="8" applyNumberFormat="1" applyFont="1" applyFill="1" applyBorder="1" applyAlignment="1">
      <alignment horizontal="left" vertical="center"/>
    </xf>
    <xf numFmtId="0" fontId="47" fillId="16" borderId="28" xfId="8" applyFont="1" applyFill="1" applyBorder="1" applyAlignment="1">
      <alignment horizontal="left" vertical="center" indent="1"/>
    </xf>
    <xf numFmtId="0" fontId="46" fillId="14" borderId="0" xfId="8" applyFont="1" applyFill="1" applyAlignment="1">
      <alignment horizontal="center" vertical="center"/>
    </xf>
    <xf numFmtId="0" fontId="43" fillId="0" borderId="31" xfId="8" applyFont="1" applyBorder="1" applyAlignment="1">
      <alignment horizontal="left" vertical="center"/>
    </xf>
    <xf numFmtId="172" fontId="43" fillId="0" borderId="32" xfId="8" applyNumberFormat="1" applyFont="1" applyBorder="1" applyAlignment="1">
      <alignment horizontal="left" vertical="center"/>
    </xf>
    <xf numFmtId="172" fontId="43" fillId="0" borderId="33" xfId="8" applyNumberFormat="1" applyFont="1" applyBorder="1" applyAlignment="1">
      <alignment horizontal="left" vertical="center"/>
    </xf>
    <xf numFmtId="172" fontId="46" fillId="16" borderId="34" xfId="8" applyNumberFormat="1" applyFont="1" applyFill="1" applyBorder="1" applyAlignment="1">
      <alignment horizontal="left" vertical="center"/>
    </xf>
    <xf numFmtId="172" fontId="43" fillId="14" borderId="35" xfId="8" applyNumberFormat="1" applyFont="1" applyFill="1" applyBorder="1" applyAlignment="1">
      <alignment horizontal="left" vertical="center"/>
    </xf>
    <xf numFmtId="172" fontId="46" fillId="16" borderId="0" xfId="8" applyNumberFormat="1" applyFont="1" applyFill="1" applyAlignment="1">
      <alignment horizontal="left" vertical="center"/>
    </xf>
    <xf numFmtId="0" fontId="47" fillId="16" borderId="0" xfId="8" applyFont="1" applyFill="1" applyAlignment="1">
      <alignment horizontal="left" vertical="center" indent="1"/>
    </xf>
    <xf numFmtId="0" fontId="48" fillId="0" borderId="0" xfId="8" applyFont="1" applyAlignment="1">
      <alignment horizontal="center" vertical="center"/>
    </xf>
    <xf numFmtId="0" fontId="48" fillId="14" borderId="0" xfId="8" applyFont="1" applyFill="1" applyAlignment="1">
      <alignment horizontal="center" vertical="center"/>
    </xf>
    <xf numFmtId="172" fontId="49" fillId="15" borderId="36" xfId="8" applyNumberFormat="1" applyFont="1" applyFill="1" applyBorder="1" applyAlignment="1">
      <alignment horizontal="center" vertical="center"/>
    </xf>
    <xf numFmtId="172" fontId="49" fillId="15" borderId="0" xfId="8" applyNumberFormat="1" applyFont="1" applyFill="1" applyAlignment="1">
      <alignment horizontal="center" vertical="center"/>
    </xf>
    <xf numFmtId="172" fontId="49" fillId="15" borderId="25" xfId="8" applyNumberFormat="1" applyFont="1" applyFill="1" applyBorder="1" applyAlignment="1">
      <alignment horizontal="center" vertical="center"/>
    </xf>
    <xf numFmtId="172" fontId="49" fillId="15" borderId="23" xfId="8" applyNumberFormat="1" applyFont="1" applyFill="1" applyBorder="1" applyAlignment="1">
      <alignment horizontal="center" vertical="center"/>
    </xf>
    <xf numFmtId="172" fontId="49" fillId="15" borderId="26" xfId="8" applyNumberFormat="1" applyFont="1" applyFill="1" applyBorder="1" applyAlignment="1">
      <alignment horizontal="center" vertical="center"/>
    </xf>
    <xf numFmtId="0" fontId="50" fillId="15" borderId="0" xfId="8" applyFont="1" applyFill="1" applyAlignment="1">
      <alignment horizontal="left" vertical="center" indent="2"/>
    </xf>
    <xf numFmtId="0" fontId="51" fillId="14" borderId="0" xfId="8" applyFont="1" applyFill="1" applyAlignment="1">
      <alignment vertical="top"/>
    </xf>
    <xf numFmtId="0" fontId="52" fillId="0" borderId="0" xfId="8" applyFont="1" applyAlignment="1">
      <alignment vertical="center"/>
    </xf>
    <xf numFmtId="0" fontId="52" fillId="14" borderId="0" xfId="8" applyFont="1" applyFill="1" applyAlignment="1">
      <alignment vertical="center"/>
    </xf>
    <xf numFmtId="172" fontId="52" fillId="14" borderId="0" xfId="8" applyNumberFormat="1" applyFont="1" applyFill="1" applyAlignment="1">
      <alignment vertical="center"/>
    </xf>
    <xf numFmtId="172" fontId="52" fillId="17" borderId="0" xfId="8" applyNumberFormat="1" applyFont="1" applyFill="1" applyAlignment="1">
      <alignment vertical="center"/>
    </xf>
    <xf numFmtId="0" fontId="53" fillId="17" borderId="0" xfId="8" applyFont="1" applyFill="1" applyAlignment="1">
      <alignment vertical="center"/>
    </xf>
    <xf numFmtId="0" fontId="52" fillId="17" borderId="0" xfId="8" applyFont="1" applyFill="1" applyAlignment="1">
      <alignment vertical="center"/>
    </xf>
    <xf numFmtId="172" fontId="52" fillId="14" borderId="37" xfId="8" applyNumberFormat="1" applyFont="1" applyFill="1" applyBorder="1" applyAlignment="1">
      <alignment vertical="center"/>
    </xf>
    <xf numFmtId="172" fontId="52" fillId="17" borderId="37" xfId="8" applyNumberFormat="1" applyFont="1" applyFill="1" applyBorder="1" applyAlignment="1">
      <alignment vertical="center"/>
    </xf>
    <xf numFmtId="0" fontId="37" fillId="17" borderId="37" xfId="8" applyFont="1" applyFill="1" applyBorder="1" applyAlignment="1">
      <alignment vertical="center"/>
    </xf>
    <xf numFmtId="0" fontId="52" fillId="17" borderId="37" xfId="8" applyFont="1" applyFill="1" applyBorder="1" applyAlignment="1">
      <alignment vertical="center"/>
    </xf>
    <xf numFmtId="0" fontId="55" fillId="14" borderId="0" xfId="8" applyFont="1" applyFill="1" applyAlignment="1">
      <alignment horizontal="left" vertical="center"/>
    </xf>
    <xf numFmtId="172" fontId="43" fillId="17" borderId="0" xfId="8" applyNumberFormat="1" applyFont="1" applyFill="1" applyAlignment="1">
      <alignment horizontal="left" vertical="center"/>
    </xf>
    <xf numFmtId="0" fontId="43" fillId="17" borderId="0" xfId="8" applyFont="1" applyFill="1" applyAlignment="1">
      <alignment horizontal="left" vertical="center" indent="2"/>
    </xf>
    <xf numFmtId="0" fontId="43" fillId="17" borderId="0" xfId="8" applyFont="1" applyFill="1" applyAlignment="1">
      <alignment horizontal="center" vertical="center"/>
    </xf>
    <xf numFmtId="0" fontId="2" fillId="0" borderId="0" xfId="13" applyFont="1" applyFill="1" applyAlignment="1">
      <alignment horizontal="left" vertical="center" wrapText="1" indent="1"/>
    </xf>
    <xf numFmtId="0" fontId="2" fillId="0" borderId="0" xfId="12" applyFont="1" applyFill="1" applyAlignment="1">
      <alignment horizontal="left" vertical="center" wrapText="1" indent="1"/>
    </xf>
    <xf numFmtId="0" fontId="8" fillId="0" borderId="4" xfId="5" applyNumberFormat="1" applyAlignment="1">
      <alignment horizontal="left"/>
    </xf>
    <xf numFmtId="0" fontId="5" fillId="0" borderId="3" xfId="7" applyNumberFormat="1" applyFont="1" applyAlignment="1">
      <alignment vertical="top"/>
    </xf>
    <xf numFmtId="0" fontId="7" fillId="0" borderId="0" xfId="1" applyNumberFormat="1"/>
    <xf numFmtId="0" fontId="8" fillId="0" borderId="0" xfId="2" applyNumberFormat="1">
      <alignment horizontal="right"/>
    </xf>
    <xf numFmtId="0" fontId="14" fillId="0" borderId="0" xfId="8" applyFont="1" applyAlignment="1">
      <alignment horizontal="center" vertical="center"/>
    </xf>
    <xf numFmtId="171" fontId="32" fillId="0" borderId="9" xfId="19" applyFont="1">
      <alignment horizontal="left" vertical="center" wrapText="1" indent="1"/>
    </xf>
    <xf numFmtId="0" fontId="2" fillId="0" borderId="6" xfId="17" applyNumberFormat="1" applyBorder="1">
      <alignment horizontal="left" vertical="top" wrapText="1" indent="1"/>
    </xf>
    <xf numFmtId="0" fontId="32" fillId="0" borderId="9" xfId="19" applyNumberFormat="1" applyFont="1">
      <alignment horizontal="left" vertical="center" wrapText="1" indent="1"/>
    </xf>
    <xf numFmtId="0" fontId="2" fillId="0" borderId="19" xfId="17" applyNumberFormat="1" applyBorder="1">
      <alignment horizontal="left" vertical="top" wrapText="1" indent="1"/>
    </xf>
    <xf numFmtId="0" fontId="2" fillId="0" borderId="18" xfId="17" applyNumberFormat="1" applyBorder="1">
      <alignment horizontal="left" vertical="top" wrapText="1" indent="1"/>
    </xf>
    <xf numFmtId="0" fontId="1" fillId="0" borderId="0" xfId="13" applyFont="1" applyFill="1" applyAlignment="1">
      <alignment horizontal="left" vertical="center" indent="1"/>
    </xf>
    <xf numFmtId="0" fontId="1" fillId="0" borderId="0" xfId="12" applyFont="1" applyFill="1" applyAlignment="1">
      <alignment horizontal="left" vertical="center" indent="1"/>
    </xf>
    <xf numFmtId="0" fontId="19" fillId="0" borderId="0" xfId="10" applyFill="1" applyAlignment="1">
      <alignment horizontal="left" vertical="center" wrapText="1" indent="1"/>
    </xf>
    <xf numFmtId="169" fontId="1" fillId="0" borderId="0" xfId="14" applyFont="1" applyFill="1" applyAlignment="1">
      <alignment horizontal="left" vertical="center" indent="1"/>
    </xf>
    <xf numFmtId="168" fontId="1" fillId="0" borderId="0" xfId="10" applyNumberFormat="1" applyFont="1" applyFill="1" applyAlignment="1">
      <alignment horizontal="left" vertical="center"/>
    </xf>
    <xf numFmtId="17" fontId="54" fillId="17" borderId="0" xfId="8" applyNumberFormat="1" applyFont="1" applyFill="1"/>
    <xf numFmtId="172" fontId="57" fillId="0" borderId="0" xfId="8" applyNumberFormat="1" applyFont="1" applyFill="1" applyAlignment="1">
      <alignment horizontal="left" vertical="center"/>
    </xf>
    <xf numFmtId="0" fontId="58" fillId="0" borderId="0" xfId="8" applyFont="1" applyFill="1" applyAlignment="1">
      <alignment horizontal="left" vertical="center" indent="2"/>
    </xf>
  </cellXfs>
  <cellStyles count="25">
    <cellStyle name="CheckMark" xfId="3" xr:uid="{00000000-0005-0000-0000-000000000000}"/>
    <cellStyle name="Currency Custom" xfId="14" xr:uid="{27593B6C-8F7E-4BF4-AFDD-A1336C8D341F}"/>
    <cellStyle name="Day" xfId="20" xr:uid="{BF1321B2-6AA7-40EE-A72D-87DC59B77AC9}"/>
    <cellStyle name="Day Detail" xfId="18" xr:uid="{C2554823-A3B9-4ACB-A95E-43F416E2EF43}"/>
    <cellStyle name="Flag" xfId="4" xr:uid="{00000000-0005-0000-0000-000001000000}"/>
    <cellStyle name="Heading 1" xfId="1" builtinId="16" customBuiltin="1"/>
    <cellStyle name="Heading 1 2" xfId="11" xr:uid="{245E3F79-6A44-4027-B14E-E85754B61813}"/>
    <cellStyle name="Heading 1 3" xfId="24" xr:uid="{83FB41D8-397D-485F-862B-B867113205E4}"/>
    <cellStyle name="Heading 2" xfId="2" builtinId="17" customBuiltin="1"/>
    <cellStyle name="Heading 2 2" xfId="21" xr:uid="{5F6EB824-14BD-431D-81EF-9A8558DC5A51}"/>
    <cellStyle name="Heading 3" xfId="5" builtinId="18" customBuiltin="1"/>
    <cellStyle name="Heading 3 2" xfId="22" xr:uid="{5A515055-AFC1-4EF8-9274-2918DB3BA40C}"/>
    <cellStyle name="Heading 4" xfId="6" builtinId="19" customBuiltin="1"/>
    <cellStyle name="Indent" xfId="15" xr:uid="{C6B78598-C5A4-4EAA-83E3-92FCF558FBD9}"/>
    <cellStyle name="Item" xfId="13" xr:uid="{238EBDDE-4DA4-49DD-A9B8-8617BBD84A18}"/>
    <cellStyle name="Normal" xfId="0" builtinId="0" customBuiltin="1"/>
    <cellStyle name="Normal 2" xfId="8" xr:uid="{61AF420A-17CC-46EA-8176-676084F5B6FC}"/>
    <cellStyle name="Normal 3" xfId="10" xr:uid="{21858A0D-87E8-4BED-940D-872416470B5A}"/>
    <cellStyle name="Normal 4" xfId="16" xr:uid="{5B68AD5E-FFC5-42C5-979A-E9203B7CD5AB}"/>
    <cellStyle name="Note" xfId="7" builtinId="10" customBuiltin="1"/>
    <cellStyle name="Notes" xfId="17" xr:uid="{1503A89C-CF8A-4D50-9DEA-CC8E81A9B4FD}"/>
    <cellStyle name="Notes Header" xfId="19" xr:uid="{AE41E21C-6237-4304-AA42-78BAF5F2DEDC}"/>
    <cellStyle name="Purple Background" xfId="9" xr:uid="{C2B6864B-2211-4DDC-990C-161DB0D8E060}"/>
    <cellStyle name="Title 2" xfId="23" xr:uid="{B9380D8A-5203-46C4-82AD-4A18EC7A28DC}"/>
    <cellStyle name="White Background" xfId="12" xr:uid="{E167FEF5-8BBE-4607-87A3-B50AB74F014F}"/>
  </cellStyles>
  <dxfs count="195">
    <dxf>
      <font>
        <color theme="1" tint="0.499984740745262"/>
      </font>
    </dxf>
    <dxf>
      <font>
        <b val="0"/>
        <i val="0"/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theme="5" tint="-0.24994659260841701"/>
        </patternFill>
      </fill>
    </dxf>
    <dxf>
      <font>
        <color rgb="FFC00000"/>
      </font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9" formatCode="&quot;$&quot;#,##0.00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8" formatCode="&quot; Done&quot;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9" formatCode="&quot;$&quot;#,##0.00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8" formatCode="&quot; Done&quot;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9" formatCode="&quot;$&quot;#,##0.00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8" formatCode="&quot; Done&quot;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9" formatCode="&quot;$&quot;#,##0.00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8" formatCode="&quot; Done&quot;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9" formatCode="&quot;$&quot;#,##0.00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8" formatCode="&quot; Done&quot;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orbel"/>
        <scheme val="minor"/>
      </font>
      <numFmt numFmtId="172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 tint="0.79998168889431442"/>
        </left>
        <right style="thin">
          <color theme="5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9" formatCode="&quot;$&quot;#,##0.00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8" formatCode="&quot; Done&quot;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9" formatCode="&quot;$&quot;#,##0.00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numFmt numFmtId="168" formatCode="&quot; Done&quot;;&quot;&quot;;&quot;&quot;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Corbe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top style="thin">
          <color theme="1"/>
        </top>
      </border>
    </dxf>
    <dxf>
      <font>
        <color auto="1"/>
      </font>
      <fill>
        <patternFill>
          <bgColor theme="6" tint="0.59996337778862885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>
          <fgColor theme="0" tint="-4.9989318521683403E-2"/>
          <bgColor theme="0" tint="-4.9989318521683403E-2"/>
        </patternFill>
      </fill>
    </dxf>
    <dxf>
      <font>
        <b/>
        <i val="0"/>
        <color theme="1"/>
      </font>
      <fill>
        <patternFill>
          <fgColor theme="4" tint="0.79998168889431442"/>
          <bgColor theme="4" tint="0.79998168889431442"/>
        </patternFill>
      </fill>
      <border>
        <left/>
        <right/>
        <top/>
        <bottom style="thin">
          <color theme="4"/>
        </bottom>
        <vertical style="thin">
          <color theme="4"/>
        </vertical>
        <horizontal/>
      </border>
    </dxf>
    <dxf>
      <fill>
        <patternFill patternType="none">
          <bgColor auto="1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>
          <fgColor theme="0" tint="-4.9989318521683403E-2"/>
          <bgColor theme="0" tint="-4.9989318521683403E-2"/>
        </patternFill>
      </fill>
    </dxf>
    <dxf>
      <font>
        <b/>
        <i val="0"/>
        <color theme="1"/>
      </font>
      <fill>
        <patternFill>
          <fgColor theme="4" tint="0.79998168889431442"/>
          <bgColor theme="4" tint="0.79998168889431442"/>
        </patternFill>
      </fill>
      <border>
        <left/>
        <right/>
        <top/>
        <bottom style="thin">
          <color theme="4"/>
        </bottom>
        <vertical style="thin">
          <color theme="4"/>
        </vertical>
        <horizontal/>
      </border>
    </dxf>
    <dxf>
      <fill>
        <patternFill patternType="none">
          <bgColor auto="1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>
          <fgColor theme="0" tint="-4.9989318521683403E-2"/>
          <bgColor theme="0" tint="-4.9989318521683403E-2"/>
        </patternFill>
      </fill>
    </dxf>
    <dxf>
      <font>
        <b/>
        <i val="0"/>
        <color theme="1"/>
      </font>
      <fill>
        <patternFill>
          <fgColor theme="4" tint="0.79998168889431442"/>
          <bgColor theme="4" tint="0.79998168889431442"/>
        </patternFill>
      </fill>
      <border>
        <left/>
        <right/>
        <top/>
        <bottom style="thin">
          <color theme="4"/>
        </bottom>
        <vertical style="thin">
          <color theme="4"/>
        </vertical>
        <horizontal/>
      </border>
    </dxf>
    <dxf>
      <fill>
        <patternFill patternType="none">
          <bgColor auto="1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>
          <fgColor theme="0" tint="-4.9989318521683403E-2"/>
          <bgColor theme="0" tint="-4.9989318521683403E-2"/>
        </patternFill>
      </fill>
    </dxf>
    <dxf>
      <font>
        <b/>
        <i val="0"/>
        <color theme="1"/>
      </font>
      <fill>
        <patternFill>
          <fgColor theme="4" tint="0.79998168889431442"/>
          <bgColor theme="4" tint="0.79998168889431442"/>
        </patternFill>
      </fill>
      <border>
        <left/>
        <right/>
        <top/>
        <bottom style="thin">
          <color theme="4"/>
        </bottom>
        <vertical style="thin">
          <color theme="4"/>
        </vertical>
        <horizontal/>
      </border>
    </dxf>
    <dxf>
      <fill>
        <patternFill patternType="none">
          <bgColor auto="1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>
          <fgColor theme="0" tint="-4.9989318521683403E-2"/>
          <bgColor theme="0" tint="-4.9989318521683403E-2"/>
        </patternFill>
      </fill>
    </dxf>
    <dxf>
      <font>
        <b/>
        <i val="0"/>
        <color theme="1"/>
      </font>
      <fill>
        <patternFill>
          <fgColor theme="4" tint="0.79998168889431442"/>
          <bgColor theme="4" tint="0.79998168889431442"/>
        </patternFill>
      </fill>
      <border>
        <left/>
        <right/>
        <top/>
        <bottom style="thin">
          <color theme="4"/>
        </bottom>
        <vertical style="thin">
          <color theme="4"/>
        </vertical>
        <horizontal/>
      </border>
    </dxf>
    <dxf>
      <fill>
        <patternFill patternType="none">
          <bgColor auto="1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>
          <fgColor theme="0" tint="-4.9989318521683403E-2"/>
          <bgColor theme="0" tint="-4.9989318521683403E-2"/>
        </patternFill>
      </fill>
    </dxf>
    <dxf>
      <font>
        <b/>
        <i val="0"/>
        <color theme="1"/>
      </font>
      <fill>
        <patternFill>
          <fgColor theme="4" tint="0.79998168889431442"/>
          <bgColor theme="4" tint="0.79998168889431442"/>
        </patternFill>
      </fill>
      <border>
        <left/>
        <right/>
        <top/>
        <bottom style="thin">
          <color theme="4"/>
        </bottom>
        <vertical style="thin">
          <color theme="4"/>
        </vertical>
        <horizontal/>
      </border>
    </dxf>
    <dxf>
      <fill>
        <patternFill patternType="none">
          <bgColor auto="1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>
          <fgColor theme="0" tint="-4.9989318521683403E-2"/>
          <bgColor theme="0" tint="-4.9989318521683403E-2"/>
        </patternFill>
      </fill>
    </dxf>
    <dxf>
      <font>
        <b/>
        <i val="0"/>
        <color theme="1"/>
      </font>
      <fill>
        <patternFill>
          <fgColor theme="4" tint="0.79998168889431442"/>
          <bgColor theme="4" tint="0.79998168889431442"/>
        </patternFill>
      </fill>
      <border>
        <left/>
        <right/>
        <top/>
        <bottom style="thin">
          <color theme="4"/>
        </bottom>
        <vertical style="thin">
          <color theme="4"/>
        </vertical>
        <horizontal/>
      </border>
    </dxf>
    <dxf>
      <fill>
        <patternFill patternType="none">
          <bgColor auto="1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8" defaultTableStyle="TableStyleMedium2" defaultPivotStyle="PivotStyleLight16">
    <tableStyle name="Grocery List" pivot="0" count="3" xr9:uid="{92C1769A-CE59-4D13-B297-B52066C48D21}">
      <tableStyleElement type="wholeTable" dxfId="194"/>
      <tableStyleElement type="headerRow" dxfId="193"/>
      <tableStyleElement type="firstRowStripe" dxfId="192"/>
    </tableStyle>
    <tableStyle name="Grocery List 2" pivot="0" count="3" xr9:uid="{ED7C6472-6922-4D17-86D1-29A64EF7B0A3}">
      <tableStyleElement type="wholeTable" dxfId="191"/>
      <tableStyleElement type="headerRow" dxfId="190"/>
      <tableStyleElement type="firstRowStripe" dxfId="189"/>
    </tableStyle>
    <tableStyle name="Grocery List 3" pivot="0" count="3" xr9:uid="{8E1FC8B0-A847-4C92-9C1C-5554A841D516}">
      <tableStyleElement type="wholeTable" dxfId="188"/>
      <tableStyleElement type="headerRow" dxfId="187"/>
      <tableStyleElement type="firstRowStripe" dxfId="186"/>
    </tableStyle>
    <tableStyle name="Grocery List 4" pivot="0" count="3" xr9:uid="{1171BD8F-BDC8-46C9-996B-230D07BF6CC6}">
      <tableStyleElement type="wholeTable" dxfId="185"/>
      <tableStyleElement type="headerRow" dxfId="184"/>
      <tableStyleElement type="firstRowStripe" dxfId="183"/>
    </tableStyle>
    <tableStyle name="Grocery List 5" pivot="0" count="3" xr9:uid="{0F75AC80-8DEC-4E3F-97EC-828B598CB237}">
      <tableStyleElement type="wholeTable" dxfId="182"/>
      <tableStyleElement type="headerRow" dxfId="181"/>
      <tableStyleElement type="firstRowStripe" dxfId="180"/>
    </tableStyle>
    <tableStyle name="Grocery List 6" pivot="0" count="3" xr9:uid="{273B893F-5457-4284-9C51-588C0D7EF062}">
      <tableStyleElement type="wholeTable" dxfId="179"/>
      <tableStyleElement type="headerRow" dxfId="178"/>
      <tableStyleElement type="firstRowStripe" dxfId="177"/>
    </tableStyle>
    <tableStyle name="Grocery List 7" pivot="0" count="3" xr9:uid="{A02B300A-BC05-4BC8-AF0A-E159CD7F9EAC}">
      <tableStyleElement type="wholeTable" dxfId="176"/>
      <tableStyleElement type="headerRow" dxfId="175"/>
      <tableStyleElement type="firstRowStripe" dxfId="174"/>
    </tableStyle>
    <tableStyle name="List" pivot="0" count="4" xr9:uid="{D9A5D4DB-73AF-4B78-AB3F-4DEBF9FCFE38}">
      <tableStyleElement type="wholeTable" dxfId="173"/>
      <tableStyleElement type="headerRow" dxfId="172"/>
      <tableStyleElement type="totalRow" dxfId="171"/>
      <tableStyleElement type="firstRowStripe" dxfId="17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276224</xdr:colOff>
      <xdr:row>0</xdr:row>
      <xdr:rowOff>234950</xdr:rowOff>
    </xdr:from>
    <xdr:to>
      <xdr:col>15</xdr:col>
      <xdr:colOff>0</xdr:colOff>
      <xdr:row>3</xdr:row>
      <xdr:rowOff>177800</xdr:rowOff>
    </xdr:to>
    <xdr:sp macro="" textlink="">
      <xdr:nvSpPr>
        <xdr:cNvPr id="2" name="Rectangular Callout 1" descr="TIP: Enter a 1 in cells B3 to N31 to get a checkmark indicating items that are complete; and similarly to Flag Discipline Problems in the Discipline Problem colum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661524" y="234950"/>
          <a:ext cx="2162176" cy="1016000"/>
        </a:xfrm>
        <a:prstGeom prst="wedgeRectCallout">
          <a:avLst>
            <a:gd name="adj1" fmla="val -59420"/>
            <a:gd name="adj2" fmla="val 20885"/>
          </a:avLst>
        </a:prstGeom>
        <a:solidFill>
          <a:schemeClr val="tx2">
            <a:lumMod val="10000"/>
            <a:lumOff val="90000"/>
          </a:schemeClr>
        </a:solidFill>
        <a:ln w="19050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chemeClr val="tx2"/>
              </a:solidFill>
            </a:rPr>
            <a:t>TIP: Enter a 1 in cells B3 to N31 to get a checkmark indicating items that are complete; and similarly to Flag Discipline Problems in the Discipline</a:t>
          </a:r>
          <a:r>
            <a:rPr lang="en-US" sz="1100" baseline="0">
              <a:solidFill>
                <a:schemeClr val="tx2"/>
              </a:solidFill>
            </a:rPr>
            <a:t> Problem</a:t>
          </a:r>
          <a:r>
            <a:rPr lang="en-US" sz="1100">
              <a:solidFill>
                <a:schemeClr val="tx2"/>
              </a:solidFill>
            </a:rPr>
            <a:t> column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15874</xdr:rowOff>
    </xdr:from>
    <xdr:to>
      <xdr:col>11</xdr:col>
      <xdr:colOff>2188845</xdr:colOff>
      <xdr:row>2</xdr:row>
      <xdr:rowOff>15240</xdr:rowOff>
    </xdr:to>
    <xdr:pic>
      <xdr:nvPicPr>
        <xdr:cNvPr id="2" name="Graphic 1" descr="Outline drawings of various grocery items">
          <a:extLst>
            <a:ext uri="{FF2B5EF4-FFF2-40B4-BE49-F238E27FC236}">
              <a16:creationId xmlns:a16="http://schemas.microsoft.com/office/drawing/2014/main" id="{4DA6B803-2CC2-40DF-984C-5D350459C4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4355" t="855" r="23113" b="729"/>
        <a:stretch/>
      </xdr:blipFill>
      <xdr:spPr>
        <a:xfrm>
          <a:off x="236220" y="267334"/>
          <a:ext cx="16581120" cy="21405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135561</xdr:colOff>
      <xdr:row>0</xdr:row>
      <xdr:rowOff>0</xdr:rowOff>
    </xdr:from>
    <xdr:to>
      <xdr:col>14</xdr:col>
      <xdr:colOff>637833</xdr:colOff>
      <xdr:row>2</xdr:row>
      <xdr:rowOff>503501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BA8AA5A-4213-45CC-A520-0F072494BF87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8170851" y="0"/>
          <a:ext cx="6390627" cy="1629356"/>
          <a:chOff x="9107525" y="0"/>
          <a:chExt cx="7065290" cy="1615288"/>
        </a:xfrm>
      </xdr:grpSpPr>
      <xdr:pic>
        <xdr:nvPicPr>
          <xdr:cNvPr id="3" name="Graphic 2">
            <a:extLst>
              <a:ext uri="{FF2B5EF4-FFF2-40B4-BE49-F238E27FC236}">
                <a16:creationId xmlns:a16="http://schemas.microsoft.com/office/drawing/2014/main" id="{85589DE0-3DEA-4F48-2522-A40D46985A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364869" y="0"/>
            <a:ext cx="2807946" cy="1615288"/>
          </a:xfrm>
          <a:prstGeom prst="rect">
            <a:avLst/>
          </a:prstGeom>
        </xdr:spPr>
      </xdr:pic>
      <xdr:pic>
        <xdr:nvPicPr>
          <xdr:cNvPr id="4" name="Graphic 3">
            <a:extLst>
              <a:ext uri="{FF2B5EF4-FFF2-40B4-BE49-F238E27FC236}">
                <a16:creationId xmlns:a16="http://schemas.microsoft.com/office/drawing/2014/main" id="{9A7B894F-6F87-3EA2-8712-A30585358D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643807" y="0"/>
            <a:ext cx="2808309" cy="1615288"/>
          </a:xfrm>
          <a:prstGeom prst="rect">
            <a:avLst/>
          </a:prstGeom>
        </xdr:spPr>
      </xdr:pic>
      <xdr:sp macro="" textlink="">
        <xdr:nvSpPr>
          <xdr:cNvPr id="5" name="Graphic 9">
            <a:extLst>
              <a:ext uri="{FF2B5EF4-FFF2-40B4-BE49-F238E27FC236}">
                <a16:creationId xmlns:a16="http://schemas.microsoft.com/office/drawing/2014/main" id="{7A5425B5-CCCB-AEF2-157E-0358AA2C50A6}"/>
              </a:ext>
            </a:extLst>
          </xdr:cNvPr>
          <xdr:cNvSpPr/>
        </xdr:nvSpPr>
        <xdr:spPr>
          <a:xfrm>
            <a:off x="9107525" y="0"/>
            <a:ext cx="2382566" cy="1198720"/>
          </a:xfrm>
          <a:custGeom>
            <a:avLst/>
            <a:gdLst>
              <a:gd name="connsiteX0" fmla="*/ 1200150 w 2400300"/>
              <a:gd name="connsiteY0" fmla="*/ 1200150 h 1200150"/>
              <a:gd name="connsiteX1" fmla="*/ 2400300 w 2400300"/>
              <a:gd name="connsiteY1" fmla="*/ 0 h 1200150"/>
              <a:gd name="connsiteX2" fmla="*/ 0 w 2400300"/>
              <a:gd name="connsiteY2" fmla="*/ 0 h 1200150"/>
              <a:gd name="connsiteX3" fmla="*/ 1200150 w 2400300"/>
              <a:gd name="connsiteY3" fmla="*/ 1200150 h 1200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400300" h="1200150">
                <a:moveTo>
                  <a:pt x="1200150" y="1200150"/>
                </a:moveTo>
                <a:cubicBezTo>
                  <a:pt x="1863090" y="1200150"/>
                  <a:pt x="2400300" y="662940"/>
                  <a:pt x="2400300" y="0"/>
                </a:cubicBezTo>
                <a:lnTo>
                  <a:pt x="0" y="0"/>
                </a:lnTo>
                <a:cubicBezTo>
                  <a:pt x="0" y="662940"/>
                  <a:pt x="537210" y="1200150"/>
                  <a:pt x="1200150" y="1200150"/>
                </a:cubicBezTo>
                <a:close/>
              </a:path>
            </a:pathLst>
          </a:custGeom>
          <a:solidFill>
            <a:srgbClr val="000000">
              <a:alpha val="50000"/>
            </a:srgbClr>
          </a:solidFill>
          <a:ln w="9525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927100</xdr:colOff>
      <xdr:row>4</xdr:row>
      <xdr:rowOff>76200</xdr:rowOff>
    </xdr:from>
    <xdr:ext cx="1981200" cy="2192020"/>
    <xdr:pic>
      <xdr:nvPicPr>
        <xdr:cNvPr id="2" name="Picture 1" descr="plate of waffles with dripping syrup">
          <a:extLst>
            <a:ext uri="{FF2B5EF4-FFF2-40B4-BE49-F238E27FC236}">
              <a16:creationId xmlns:a16="http://schemas.microsoft.com/office/drawing/2014/main" id="{A7C7B66D-77BB-4EA4-9207-75F95D2AE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420" y="807720"/>
          <a:ext cx="1981200" cy="219202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76200</xdr:rowOff>
    </xdr:from>
    <xdr:ext cx="1978660" cy="2192020"/>
    <xdr:pic>
      <xdr:nvPicPr>
        <xdr:cNvPr id="3" name="Picture 2" descr="close up of salad">
          <a:extLst>
            <a:ext uri="{FF2B5EF4-FFF2-40B4-BE49-F238E27FC236}">
              <a16:creationId xmlns:a16="http://schemas.microsoft.com/office/drawing/2014/main" id="{F68AB3F2-018B-4456-BBF3-FDB599AB4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7920" y="807720"/>
          <a:ext cx="1978660" cy="219202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76200</xdr:rowOff>
    </xdr:from>
    <xdr:ext cx="1978660" cy="2192020"/>
    <xdr:pic>
      <xdr:nvPicPr>
        <xdr:cNvPr id="4" name="Picture 3" descr="slider sandwiches with pork">
          <a:extLst>
            <a:ext uri="{FF2B5EF4-FFF2-40B4-BE49-F238E27FC236}">
              <a16:creationId xmlns:a16="http://schemas.microsoft.com/office/drawing/2014/main" id="{12E04BD8-FDC1-4A7C-8007-B84F3C810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1880" y="807720"/>
          <a:ext cx="1978660" cy="219202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63500</xdr:rowOff>
    </xdr:from>
    <xdr:ext cx="1978660" cy="2192020"/>
    <xdr:pic>
      <xdr:nvPicPr>
        <xdr:cNvPr id="5" name="Picture 4" descr="plate of cut slices of watermelon">
          <a:extLst>
            <a:ext uri="{FF2B5EF4-FFF2-40B4-BE49-F238E27FC236}">
              <a16:creationId xmlns:a16="http://schemas.microsoft.com/office/drawing/2014/main" id="{DB3484CD-69C8-4C16-BEC2-EF78783D0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5840" y="795020"/>
          <a:ext cx="1978660" cy="21920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15874</xdr:rowOff>
    </xdr:from>
    <xdr:to>
      <xdr:col>11</xdr:col>
      <xdr:colOff>2188845</xdr:colOff>
      <xdr:row>2</xdr:row>
      <xdr:rowOff>15240</xdr:rowOff>
    </xdr:to>
    <xdr:pic>
      <xdr:nvPicPr>
        <xdr:cNvPr id="2" name="Graphic 1" descr="Outline drawings of various grocery items">
          <a:extLst>
            <a:ext uri="{FF2B5EF4-FFF2-40B4-BE49-F238E27FC236}">
              <a16:creationId xmlns:a16="http://schemas.microsoft.com/office/drawing/2014/main" id="{FF524125-D4A5-4209-95F1-8E76EF39E6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4355" t="855" r="23113" b="729"/>
        <a:stretch/>
      </xdr:blipFill>
      <xdr:spPr>
        <a:xfrm>
          <a:off x="236220" y="267334"/>
          <a:ext cx="16581120" cy="21405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15874</xdr:rowOff>
    </xdr:from>
    <xdr:to>
      <xdr:col>11</xdr:col>
      <xdr:colOff>2188845</xdr:colOff>
      <xdr:row>2</xdr:row>
      <xdr:rowOff>15240</xdr:rowOff>
    </xdr:to>
    <xdr:pic>
      <xdr:nvPicPr>
        <xdr:cNvPr id="2" name="Graphic 1" descr="Outline drawings of various grocery items">
          <a:extLst>
            <a:ext uri="{FF2B5EF4-FFF2-40B4-BE49-F238E27FC236}">
              <a16:creationId xmlns:a16="http://schemas.microsoft.com/office/drawing/2014/main" id="{35065DE5-7FF9-43BA-9C77-44099EB890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4355" t="855" r="23113" b="729"/>
        <a:stretch/>
      </xdr:blipFill>
      <xdr:spPr>
        <a:xfrm>
          <a:off x="236220" y="267334"/>
          <a:ext cx="16581120" cy="21405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15874</xdr:rowOff>
    </xdr:from>
    <xdr:to>
      <xdr:col>11</xdr:col>
      <xdr:colOff>2188845</xdr:colOff>
      <xdr:row>2</xdr:row>
      <xdr:rowOff>15240</xdr:rowOff>
    </xdr:to>
    <xdr:pic>
      <xdr:nvPicPr>
        <xdr:cNvPr id="2" name="Graphic 1" descr="Outline drawings of various grocery items">
          <a:extLst>
            <a:ext uri="{FF2B5EF4-FFF2-40B4-BE49-F238E27FC236}">
              <a16:creationId xmlns:a16="http://schemas.microsoft.com/office/drawing/2014/main" id="{1AAC36CC-CE38-4D6E-B1BD-6F4639950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4355" t="855" r="23113" b="729"/>
        <a:stretch/>
      </xdr:blipFill>
      <xdr:spPr>
        <a:xfrm>
          <a:off x="236220" y="267334"/>
          <a:ext cx="16581120" cy="21405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15874</xdr:rowOff>
    </xdr:from>
    <xdr:to>
      <xdr:col>11</xdr:col>
      <xdr:colOff>2188845</xdr:colOff>
      <xdr:row>2</xdr:row>
      <xdr:rowOff>15240</xdr:rowOff>
    </xdr:to>
    <xdr:pic>
      <xdr:nvPicPr>
        <xdr:cNvPr id="2" name="Graphic 1" descr="Outline drawings of various grocery items">
          <a:extLst>
            <a:ext uri="{FF2B5EF4-FFF2-40B4-BE49-F238E27FC236}">
              <a16:creationId xmlns:a16="http://schemas.microsoft.com/office/drawing/2014/main" id="{4CF6501A-25AF-43B8-A164-BA7121D86D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4355" t="855" r="23113" b="729"/>
        <a:stretch/>
      </xdr:blipFill>
      <xdr:spPr>
        <a:xfrm>
          <a:off x="236220" y="267334"/>
          <a:ext cx="16581120" cy="21405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15874</xdr:rowOff>
    </xdr:from>
    <xdr:to>
      <xdr:col>11</xdr:col>
      <xdr:colOff>2188845</xdr:colOff>
      <xdr:row>2</xdr:row>
      <xdr:rowOff>15240</xdr:rowOff>
    </xdr:to>
    <xdr:pic>
      <xdr:nvPicPr>
        <xdr:cNvPr id="2" name="Graphic 1" descr="Outline drawings of various grocery items">
          <a:extLst>
            <a:ext uri="{FF2B5EF4-FFF2-40B4-BE49-F238E27FC236}">
              <a16:creationId xmlns:a16="http://schemas.microsoft.com/office/drawing/2014/main" id="{B34C94D3-5CB1-4532-960B-FF85C7E98C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4355" t="855" r="23113" b="729"/>
        <a:stretch/>
      </xdr:blipFill>
      <xdr:spPr>
        <a:xfrm>
          <a:off x="236220" y="267334"/>
          <a:ext cx="16581120" cy="21405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15874</xdr:rowOff>
    </xdr:from>
    <xdr:to>
      <xdr:col>12</xdr:col>
      <xdr:colOff>0</xdr:colOff>
      <xdr:row>2</xdr:row>
      <xdr:rowOff>0</xdr:rowOff>
    </xdr:to>
    <xdr:pic>
      <xdr:nvPicPr>
        <xdr:cNvPr id="2" name="Graphic 1" descr="Outline drawings of various grocery items">
          <a:extLst>
            <a:ext uri="{FF2B5EF4-FFF2-40B4-BE49-F238E27FC236}">
              <a16:creationId xmlns:a16="http://schemas.microsoft.com/office/drawing/2014/main" id="{63D88109-7FD4-4BE1-B9A0-569BC51381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4355" t="855" r="23113" b="729"/>
        <a:stretch/>
      </xdr:blipFill>
      <xdr:spPr>
        <a:xfrm>
          <a:off x="238125" y="267334"/>
          <a:ext cx="16592550" cy="21329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ocery%20list%20(with%20category%20totals)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siness%20expenses%20budg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cery list"/>
      <sheetName val="calculations"/>
    </sheetNames>
    <sheetDataSet>
      <sheetData sheetId="0"/>
      <sheetData sheetId="1">
        <row r="3">
          <cell r="L3">
            <v>0</v>
          </cell>
          <cell r="M3" t="str">
            <v>OTHER TOTAL</v>
          </cell>
        </row>
        <row r="4">
          <cell r="L4">
            <v>271</v>
          </cell>
          <cell r="M4" t="str">
            <v>GROCERY TOTAL</v>
          </cell>
        </row>
        <row r="6">
          <cell r="L6">
            <v>109</v>
          </cell>
          <cell r="M6" t="str">
            <v>SEAFOOD TOTAL</v>
          </cell>
        </row>
        <row r="7">
          <cell r="L7">
            <v>80</v>
          </cell>
          <cell r="M7" t="str">
            <v>MEAT TOTAL</v>
          </cell>
        </row>
        <row r="8">
          <cell r="L8">
            <v>45</v>
          </cell>
          <cell r="M8" t="str">
            <v>PRODUCE TOTAL</v>
          </cell>
        </row>
        <row r="9">
          <cell r="L9">
            <v>37</v>
          </cell>
          <cell r="M9" t="str">
            <v>DAIRY TOTAL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ed expenses"/>
      <sheetName val="Actual expenses"/>
      <sheetName val="Expenses analysis"/>
    </sheetNames>
    <sheetDataSet>
      <sheetData sheetId="0">
        <row r="2">
          <cell r="B2" t="str">
            <v>Market Financial Consulting</v>
          </cell>
        </row>
        <row r="37">
          <cell r="C37">
            <v>131420</v>
          </cell>
        </row>
      </sheetData>
      <sheetData sheetId="1">
        <row r="37">
          <cell r="C37">
            <v>129682</v>
          </cell>
          <cell r="D37">
            <v>127804</v>
          </cell>
          <cell r="E37">
            <v>125565</v>
          </cell>
          <cell r="F37">
            <v>137394</v>
          </cell>
          <cell r="G37">
            <v>128255</v>
          </cell>
          <cell r="H37">
            <v>134239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34C3C0-4BB0-4514-8843-BD1F67E7B14F}" name="List6" displayName="List6" ref="B4:J22" totalsRowShown="0" headerRowDxfId="158" dataDxfId="157" headerRowCellStyle="Normal" dataCellStyle="White Background">
  <autoFilter ref="B4:J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BB65DC3-3FC6-4283-94A3-E46F926AB416}" name="DONE" dataDxfId="156" dataCellStyle="Normal"/>
    <tableColumn id="2" xr3:uid="{1C05E434-AC1B-4D19-B76B-0F53762CB049}" name="ITEM" dataDxfId="155" dataCellStyle="Item"/>
    <tableColumn id="9" xr3:uid="{C69F27FB-E7D5-454F-B23F-1FA89D60707C}" name="STORE" dataDxfId="154" dataCellStyle="White Background"/>
    <tableColumn id="3" xr3:uid="{C111FEE5-0DF1-4487-9FAF-9DEC60A03FB8}" name="CATEGORY" dataDxfId="153" dataCellStyle="White Background"/>
    <tableColumn id="4" xr3:uid="{3C485B27-5839-43F1-B9B3-88A57AAE0D4D}" name="QTY" dataDxfId="152" dataCellStyle="White Background"/>
    <tableColumn id="8" xr3:uid="{BE9A002F-6AFF-4380-8DB6-9BA710C4DAEE}" name="UNIT" dataDxfId="151" dataCellStyle="White Background"/>
    <tableColumn id="5" xr3:uid="{20B969F2-58C7-4529-8006-60BFA3D2E728}" name="UNIT PRICE" dataDxfId="150" dataCellStyle="Currency Custom"/>
    <tableColumn id="6" xr3:uid="{02FCC914-C88F-4C56-8E9D-81C4895706ED}" name="TOTAL" dataDxfId="149" dataCellStyle="Currency Custom">
      <calculatedColumnFormula>IFERROR(List6[[#This Row],[QTY]]*List6[[#This Row],[UNIT PRICE]],"")</calculatedColumnFormula>
    </tableColumn>
    <tableColumn id="7" xr3:uid="{0E0B7B31-D728-4792-9605-42D642EE737E}" name="COMMENT" dataDxfId="148" dataCellStyle="Indent"/>
  </tableColumns>
  <tableStyleInfo name="Grocery List" showFirstColumn="0" showLastColumn="0" showRowStripes="1" showColumnStripes="0"/>
  <extLst>
    <ext xmlns:x14="http://schemas.microsoft.com/office/spreadsheetml/2009/9/main" uri="{504A1905-F514-4f6f-8877-14C23A59335A}">
      <x14:table altTextSummary="Enter Item, Store type, Category, Quantity, Unit, Unit Price, and Comment in this table. Total is automatically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C62721-C294-4429-87B8-58D03581CC1F}" name="Var_EmployeeCosts" displayName="Var_EmployeeCosts" ref="B8:O11" totalsRowShown="0" headerRowDxfId="147" dataDxfId="146">
  <autoFilter ref="B8:O11" xr:uid="{00000000-000C-0000-FFFF-FFFF08000000}"/>
  <tableColumns count="14">
    <tableColumn id="1" xr3:uid="{00000000-0010-0000-0800-000001000000}" name=" EMPLOYEE COSTS" dataDxfId="145"/>
    <tableColumn id="2" xr3:uid="{00000000-0010-0000-0800-000002000000}" name="JANUARY" dataDxfId="144" totalsRowDxfId="143">
      <calculatedColumnFormula>IF(INDIRECT("Actual_EmployeeCosts["&amp;C$6&amp;"]")="","",INDIRECT("Plan_EmployeeCosts["&amp;C$6&amp;"]")-INDIRECT("Actual_EmployeeCosts["&amp;C$6&amp;"]"))</calculatedColumnFormula>
    </tableColumn>
    <tableColumn id="3" xr3:uid="{00000000-0010-0000-0800-000003000000}" name="FEBRUARY" dataDxfId="142" totalsRowDxfId="141">
      <calculatedColumnFormula>IF(INDIRECT("Actual_EmployeeCosts["&amp;D$6&amp;"]")="","",INDIRECT("Plan_EmployeeCosts["&amp;D$6&amp;"]")-INDIRECT("Actual_EmployeeCosts["&amp;D$6&amp;"]"))</calculatedColumnFormula>
    </tableColumn>
    <tableColumn id="4" xr3:uid="{00000000-0010-0000-0800-000004000000}" name="MARCH" dataDxfId="140" totalsRowDxfId="139">
      <calculatedColumnFormula>IF(INDIRECT("Actual_EmployeeCosts["&amp;E$6&amp;"]")="","",INDIRECT("Plan_EmployeeCosts["&amp;E$6&amp;"]")-INDIRECT("Actual_EmployeeCosts["&amp;E$6&amp;"]"))</calculatedColumnFormula>
    </tableColumn>
    <tableColumn id="5" xr3:uid="{00000000-0010-0000-0800-000005000000}" name="APRIL" dataDxfId="138" totalsRowDxfId="137">
      <calculatedColumnFormula>IF(INDIRECT("Actual_EmployeeCosts["&amp;F$6&amp;"]")="","",INDIRECT("Plan_EmployeeCosts["&amp;F$6&amp;"]")-INDIRECT("Actual_EmployeeCosts["&amp;F$6&amp;"]"))</calculatedColumnFormula>
    </tableColumn>
    <tableColumn id="6" xr3:uid="{00000000-0010-0000-0800-000006000000}" name="MAY" dataDxfId="136" totalsRowDxfId="135">
      <calculatedColumnFormula>IF(INDIRECT("Actual_EmployeeCosts["&amp;G$6&amp;"]")="","",INDIRECT("Plan_EmployeeCosts["&amp;G$6&amp;"]")-INDIRECT("Actual_EmployeeCosts["&amp;G$6&amp;"]"))</calculatedColumnFormula>
    </tableColumn>
    <tableColumn id="7" xr3:uid="{00000000-0010-0000-0800-000007000000}" name="JUNE" dataDxfId="134" totalsRowDxfId="133">
      <calculatedColumnFormula>IF(INDIRECT("Actual_EmployeeCosts["&amp;H$6&amp;"]")="","",INDIRECT("Plan_EmployeeCosts["&amp;H$6&amp;"]")-INDIRECT("Actual_EmployeeCosts["&amp;H$6&amp;"]"))</calculatedColumnFormula>
    </tableColumn>
    <tableColumn id="8" xr3:uid="{00000000-0010-0000-0800-000008000000}" name="JULY" dataDxfId="132" totalsRowDxfId="131">
      <calculatedColumnFormula>IF(INDIRECT("Actual_EmployeeCosts["&amp;I$6&amp;"]")="","",INDIRECT("Plan_EmployeeCosts["&amp;I$6&amp;"]")-INDIRECT("Actual_EmployeeCosts["&amp;I$6&amp;"]"))</calculatedColumnFormula>
    </tableColumn>
    <tableColumn id="9" xr3:uid="{00000000-0010-0000-0800-000009000000}" name="AUGUST" dataDxfId="130" totalsRowDxfId="129">
      <calculatedColumnFormula>IF(INDIRECT("Actual_EmployeeCosts["&amp;J$6&amp;"]")="","",INDIRECT("Plan_EmployeeCosts["&amp;J$6&amp;"]")-INDIRECT("Actual_EmployeeCosts["&amp;J$6&amp;"]"))</calculatedColumnFormula>
    </tableColumn>
    <tableColumn id="10" xr3:uid="{00000000-0010-0000-0800-00000A000000}" name="SEPTEMBER" dataDxfId="128" totalsRowDxfId="127">
      <calculatedColumnFormula>IF(INDIRECT("Actual_EmployeeCosts["&amp;K$6&amp;"]")="","",INDIRECT("Plan_EmployeeCosts["&amp;K$6&amp;"]")-INDIRECT("Actual_EmployeeCosts["&amp;K$6&amp;"]"))</calculatedColumnFormula>
    </tableColumn>
    <tableColumn id="11" xr3:uid="{00000000-0010-0000-0800-00000B000000}" name="OCTOBER" dataDxfId="126" totalsRowDxfId="125">
      <calculatedColumnFormula>IF(INDIRECT("Actual_EmployeeCosts["&amp;L$6&amp;"]")="","",INDIRECT("Plan_EmployeeCosts["&amp;L$6&amp;"]")-INDIRECT("Actual_EmployeeCosts["&amp;L$6&amp;"]"))</calculatedColumnFormula>
    </tableColumn>
    <tableColumn id="12" xr3:uid="{00000000-0010-0000-0800-00000C000000}" name="NOVEMBER" dataDxfId="124" totalsRowDxfId="123">
      <calculatedColumnFormula>IF(INDIRECT("Actual_EmployeeCosts["&amp;M$6&amp;"]")="","",INDIRECT("Plan_EmployeeCosts["&amp;M$6&amp;"]")-INDIRECT("Actual_EmployeeCosts["&amp;M$6&amp;"]"))</calculatedColumnFormula>
    </tableColumn>
    <tableColumn id="13" xr3:uid="{00000000-0010-0000-0800-00000D000000}" name="DECEMBER" dataDxfId="122" totalsRowDxfId="121">
      <calculatedColumnFormula>IF(INDIRECT("Actual_EmployeeCosts["&amp;N$6&amp;"]")="","",INDIRECT("Plan_EmployeeCosts["&amp;N$6&amp;"]")-INDIRECT("Actual_EmployeeCosts["&amp;N$6&amp;"]"))</calculatedColumnFormula>
    </tableColumn>
    <tableColumn id="14" xr3:uid="{00000000-0010-0000-0800-00000E000000}" name="TOTAL" dataDxfId="120">
      <calculatedColumnFormula>SUM(Var_EmployeeCosts[[#This Row],[JANUARY]:[DECEMBER]])</calculatedColumnFormula>
    </tableColumn>
  </tableColumns>
  <tableStyleInfo name="List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F7CA99-BCB9-4C17-BD00-D4F9070A9D23}" name="Var_OfficeCosts" displayName="Var_OfficeCosts" ref="B14:O22" totalsRowShown="0" headerRowDxfId="119" dataDxfId="118">
  <autoFilter ref="B14:O22" xr:uid="{00000000-0009-0000-0100-00000D000000}"/>
  <tableColumns count="14">
    <tableColumn id="1" xr3:uid="{00000000-0010-0000-0900-000001000000}" name="OFFICE COSTS" dataDxfId="117"/>
    <tableColumn id="2" xr3:uid="{00000000-0010-0000-0900-000002000000}" name="JANUARY" dataDxfId="116">
      <calculatedColumnFormula>IF(INDIRECT("Actual_OfficeCosts["&amp;C$6&amp;"]")="","",INDIRECT("Plan_OfficeCosts["&amp;C$6&amp;"]")-INDIRECT("Actual_OfficeCosts["&amp;C$6&amp;"]"))</calculatedColumnFormula>
    </tableColumn>
    <tableColumn id="3" xr3:uid="{00000000-0010-0000-0900-000003000000}" name="FEBRUARY" dataDxfId="115">
      <calculatedColumnFormula>IF(INDIRECT("Actual_OfficeCosts["&amp;D$6&amp;"]")="","",INDIRECT("Plan_OfficeCosts["&amp;D$6&amp;"]")-INDIRECT("Actual_OfficeCosts["&amp;D$6&amp;"]"))</calculatedColumnFormula>
    </tableColumn>
    <tableColumn id="4" xr3:uid="{00000000-0010-0000-0900-000004000000}" name="MARCH" dataDxfId="114">
      <calculatedColumnFormula>IF(INDIRECT("Actual_OfficeCosts["&amp;E$6&amp;"]")="","",INDIRECT("Plan_OfficeCosts["&amp;E$6&amp;"]")-INDIRECT("Actual_OfficeCosts["&amp;E$6&amp;"]"))</calculatedColumnFormula>
    </tableColumn>
    <tableColumn id="5" xr3:uid="{00000000-0010-0000-0900-000005000000}" name="APRIL" dataDxfId="113">
      <calculatedColumnFormula>IF(INDIRECT("Actual_OfficeCosts["&amp;F$6&amp;"]")="","",INDIRECT("Plan_OfficeCosts["&amp;F$6&amp;"]")-INDIRECT("Actual_OfficeCosts["&amp;F$6&amp;"]"))</calculatedColumnFormula>
    </tableColumn>
    <tableColumn id="6" xr3:uid="{00000000-0010-0000-0900-000006000000}" name="MAY" dataDxfId="112">
      <calculatedColumnFormula>IF(INDIRECT("Actual_OfficeCosts["&amp;G$6&amp;"]")="","",INDIRECT("Plan_OfficeCosts["&amp;G$6&amp;"]")-INDIRECT("Actual_OfficeCosts["&amp;G$6&amp;"]"))</calculatedColumnFormula>
    </tableColumn>
    <tableColumn id="7" xr3:uid="{00000000-0010-0000-0900-000007000000}" name="JUNE" dataDxfId="111">
      <calculatedColumnFormula>IF(INDIRECT("Actual_OfficeCosts["&amp;H$6&amp;"]")="","",INDIRECT("Plan_OfficeCosts["&amp;H$6&amp;"]")-INDIRECT("Actual_OfficeCosts["&amp;H$6&amp;"]"))</calculatedColumnFormula>
    </tableColumn>
    <tableColumn id="8" xr3:uid="{00000000-0010-0000-0900-000008000000}" name="JULY" dataDxfId="110">
      <calculatedColumnFormula>IF(INDIRECT("Actual_OfficeCosts["&amp;I$6&amp;"]")="","",INDIRECT("Plan_OfficeCosts["&amp;I$6&amp;"]")-INDIRECT("Actual_OfficeCosts["&amp;I$6&amp;"]"))</calculatedColumnFormula>
    </tableColumn>
    <tableColumn id="9" xr3:uid="{00000000-0010-0000-0900-000009000000}" name="AUGUST" dataDxfId="109">
      <calculatedColumnFormula>IF(INDIRECT("Actual_OfficeCosts["&amp;J$6&amp;"]")="","",INDIRECT("Plan_OfficeCosts["&amp;J$6&amp;"]")-INDIRECT("Actual_OfficeCosts["&amp;J$6&amp;"]"))</calculatedColumnFormula>
    </tableColumn>
    <tableColumn id="10" xr3:uid="{00000000-0010-0000-0900-00000A000000}" name="SEPTEMBER" dataDxfId="108">
      <calculatedColumnFormula>IF(INDIRECT("Actual_OfficeCosts["&amp;K$6&amp;"]")="","",INDIRECT("Plan_OfficeCosts["&amp;K$6&amp;"]")-INDIRECT("Actual_OfficeCosts["&amp;K$6&amp;"]"))</calculatedColumnFormula>
    </tableColumn>
    <tableColumn id="11" xr3:uid="{00000000-0010-0000-0900-00000B000000}" name="OCTOBER" dataDxfId="107">
      <calculatedColumnFormula>IF(INDIRECT("Actual_OfficeCosts["&amp;L$6&amp;"]")="","",INDIRECT("Plan_OfficeCosts["&amp;L$6&amp;"]")-INDIRECT("Actual_OfficeCosts["&amp;L$6&amp;"]"))</calculatedColumnFormula>
    </tableColumn>
    <tableColumn id="12" xr3:uid="{00000000-0010-0000-0900-00000C000000}" name="NOVEMBER" dataDxfId="106">
      <calculatedColumnFormula>IF(INDIRECT("Actual_OfficeCosts["&amp;M$6&amp;"]")="","",INDIRECT("Plan_OfficeCosts["&amp;M$6&amp;"]")-INDIRECT("Actual_OfficeCosts["&amp;M$6&amp;"]"))</calculatedColumnFormula>
    </tableColumn>
    <tableColumn id="13" xr3:uid="{00000000-0010-0000-0900-00000D000000}" name="DECEMBER" dataDxfId="105">
      <calculatedColumnFormula>IF(INDIRECT("Actual_OfficeCosts["&amp;N$6&amp;"]")="","",INDIRECT("Plan_OfficeCosts["&amp;N$6&amp;"]")-INDIRECT("Actual_OfficeCosts["&amp;N$6&amp;"]"))</calculatedColumnFormula>
    </tableColumn>
    <tableColumn id="14" xr3:uid="{00000000-0010-0000-0900-00000E000000}" name="TOTAL" dataDxfId="104">
      <calculatedColumnFormula>SUM(Var_OfficeCosts[[#This Row],[JANUARY]:[DECEMBER]])</calculatedColumnFormula>
    </tableColumn>
  </tableColumns>
  <tableStyleInfo name="List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793EBB-9E38-48DC-B475-5318DE3FDCEC}" name="Var_MarketingCosts" displayName="Var_MarketingCosts" ref="B25:O31" totalsRowShown="0" headerRowDxfId="103" dataDxfId="102">
  <autoFilter ref="B25:O31" xr:uid="{00000000-0009-0000-0100-00000E000000}"/>
  <tableColumns count="14">
    <tableColumn id="1" xr3:uid="{00000000-0010-0000-0A00-000001000000}" name="MARKETING COSTS" dataDxfId="101"/>
    <tableColumn id="2" xr3:uid="{00000000-0010-0000-0A00-000002000000}" name="JANUARY" dataDxfId="100">
      <calculatedColumnFormula>IF(INDIRECT("Actual_MarketingCosts["&amp;C$6&amp;"]")="","",INDIRECT("Plan_MarketingCosts["&amp;C$6&amp;"]")-INDIRECT("Actual_MarketingCosts["&amp;C$6&amp;"]"))</calculatedColumnFormula>
    </tableColumn>
    <tableColumn id="3" xr3:uid="{00000000-0010-0000-0A00-000003000000}" name="FEBRUARY" dataDxfId="99">
      <calculatedColumnFormula>IF(INDIRECT("Actual_MarketingCosts["&amp;D$6&amp;"]")="","",INDIRECT("Plan_MarketingCosts["&amp;D$6&amp;"]")-INDIRECT("Actual_MarketingCosts["&amp;D$6&amp;"]"))</calculatedColumnFormula>
    </tableColumn>
    <tableColumn id="4" xr3:uid="{00000000-0010-0000-0A00-000004000000}" name="MARCH" dataDxfId="98">
      <calculatedColumnFormula>IF(INDIRECT("Actual_MarketingCosts["&amp;E$6&amp;"]")="","",INDIRECT("Plan_MarketingCosts["&amp;E$6&amp;"]")-INDIRECT("Actual_MarketingCosts["&amp;E$6&amp;"]"))</calculatedColumnFormula>
    </tableColumn>
    <tableColumn id="5" xr3:uid="{00000000-0010-0000-0A00-000005000000}" name="APRIL" dataDxfId="97">
      <calculatedColumnFormula>IF(INDIRECT("Actual_MarketingCosts["&amp;F$6&amp;"]")="","",INDIRECT("Plan_MarketingCosts["&amp;F$6&amp;"]")-INDIRECT("Actual_MarketingCosts["&amp;F$6&amp;"]"))</calculatedColumnFormula>
    </tableColumn>
    <tableColumn id="6" xr3:uid="{00000000-0010-0000-0A00-000006000000}" name="MAY" dataDxfId="96">
      <calculatedColumnFormula>IF(INDIRECT("Actual_MarketingCosts["&amp;G$6&amp;"]")="","",INDIRECT("Plan_MarketingCosts["&amp;G$6&amp;"]")-INDIRECT("Actual_MarketingCosts["&amp;G$6&amp;"]"))</calculatedColumnFormula>
    </tableColumn>
    <tableColumn id="7" xr3:uid="{00000000-0010-0000-0A00-000007000000}" name="JUNE" dataDxfId="95">
      <calculatedColumnFormula>IF(INDIRECT("Actual_MarketingCosts["&amp;H$6&amp;"]")="","",INDIRECT("Plan_MarketingCosts["&amp;H$6&amp;"]")-INDIRECT("Actual_MarketingCosts["&amp;H$6&amp;"]"))</calculatedColumnFormula>
    </tableColumn>
    <tableColumn id="8" xr3:uid="{00000000-0010-0000-0A00-000008000000}" name="JULY" dataDxfId="94">
      <calculatedColumnFormula>IF(INDIRECT("Actual_MarketingCosts["&amp;I$6&amp;"]")="","",INDIRECT("Plan_MarketingCosts["&amp;I$6&amp;"]")-INDIRECT("Actual_MarketingCosts["&amp;I$6&amp;"]"))</calculatedColumnFormula>
    </tableColumn>
    <tableColumn id="9" xr3:uid="{00000000-0010-0000-0A00-000009000000}" name="AUGUST" dataDxfId="93">
      <calculatedColumnFormula>IF(INDIRECT("Actual_MarketingCosts["&amp;J$6&amp;"]")="","",INDIRECT("Plan_MarketingCosts["&amp;J$6&amp;"]")-INDIRECT("Actual_MarketingCosts["&amp;J$6&amp;"]"))</calculatedColumnFormula>
    </tableColumn>
    <tableColumn id="10" xr3:uid="{00000000-0010-0000-0A00-00000A000000}" name="SEPTEMBER" dataDxfId="92">
      <calculatedColumnFormula>IF(INDIRECT("Actual_MarketingCosts["&amp;K$6&amp;"]")="","",INDIRECT("Plan_MarketingCosts["&amp;K$6&amp;"]")-INDIRECT("Actual_MarketingCosts["&amp;K$6&amp;"]"))</calculatedColumnFormula>
    </tableColumn>
    <tableColumn id="11" xr3:uid="{00000000-0010-0000-0A00-00000B000000}" name="OCTOBER" dataDxfId="91">
      <calculatedColumnFormula>IF(INDIRECT("Actual_MarketingCosts["&amp;L$6&amp;"]")="","",INDIRECT("Plan_MarketingCosts["&amp;L$6&amp;"]")-INDIRECT("Actual_MarketingCosts["&amp;L$6&amp;"]"))</calculatedColumnFormula>
    </tableColumn>
    <tableColumn id="12" xr3:uid="{00000000-0010-0000-0A00-00000C000000}" name="NOVEMBER" dataDxfId="90">
      <calculatedColumnFormula>IF(INDIRECT("Actual_MarketingCosts["&amp;M$6&amp;"]")="","",INDIRECT("Plan_MarketingCosts["&amp;M$6&amp;"]")-INDIRECT("Actual_MarketingCosts["&amp;M$6&amp;"]"))</calculatedColumnFormula>
    </tableColumn>
    <tableColumn id="13" xr3:uid="{00000000-0010-0000-0A00-00000D000000}" name="DECEMBER" dataDxfId="89">
      <calculatedColumnFormula>IF(INDIRECT("Actual_MarketingCosts["&amp;N$6&amp;"]")="","",INDIRECT("Plan_MarketingCosts["&amp;N$6&amp;"]")-INDIRECT("Actual_MarketingCosts["&amp;N$6&amp;"]"))</calculatedColumnFormula>
    </tableColumn>
    <tableColumn id="14" xr3:uid="{00000000-0010-0000-0A00-00000E000000}" name="TOTAL" dataDxfId="88">
      <calculatedColumnFormula>SUM(Var_MarketingCosts[[#This Row],[JANUARY]:[DECEMBER]])</calculatedColumnFormula>
    </tableColumn>
  </tableColumns>
  <tableStyleInfo name="List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942245-06C8-4C19-B384-D1BC828FF8D0}" name="Var_TrainingTravel" displayName="Var_TrainingTravel" ref="B34:O36" totalsRowShown="0" headerRowDxfId="87" dataDxfId="86">
  <autoFilter ref="B34:O36" xr:uid="{00000000-0009-0000-0100-00000F000000}"/>
  <tableColumns count="14">
    <tableColumn id="1" xr3:uid="{00000000-0010-0000-0B00-000001000000}" name="TRAINING/TRAVEL" dataDxfId="85"/>
    <tableColumn id="2" xr3:uid="{00000000-0010-0000-0B00-000002000000}" name="JANUARY" dataDxfId="84">
      <calculatedColumnFormula>IF(INDIRECT("Actual_TrainingTravel["&amp;C$6&amp;"]")="","",INDIRECT("Plan_TrainingTravel["&amp;C$6&amp;"]")-INDIRECT("Actual_TrainingTravel["&amp;C$6&amp;"]"))</calculatedColumnFormula>
    </tableColumn>
    <tableColumn id="3" xr3:uid="{00000000-0010-0000-0B00-000003000000}" name="FEBRUARY" dataDxfId="83">
      <calculatedColumnFormula>IF(INDIRECT("Actual_TrainingTravel["&amp;D$6&amp;"]")="","",INDIRECT("Plan_TrainingTravel["&amp;D$6&amp;"]")-INDIRECT("Actual_TrainingTravel["&amp;D$6&amp;"]"))</calculatedColumnFormula>
    </tableColumn>
    <tableColumn id="4" xr3:uid="{00000000-0010-0000-0B00-000004000000}" name="MARCH" dataDxfId="82">
      <calculatedColumnFormula>IF(INDIRECT("Actual_TrainingTravel["&amp;E$6&amp;"]")="","",INDIRECT("Plan_TrainingTravel["&amp;E$6&amp;"]")-INDIRECT("Actual_TrainingTravel["&amp;E$6&amp;"]"))</calculatedColumnFormula>
    </tableColumn>
    <tableColumn id="5" xr3:uid="{00000000-0010-0000-0B00-000005000000}" name="APRIL" dataDxfId="81">
      <calculatedColumnFormula>IF(INDIRECT("Actual_TrainingTravel["&amp;F$6&amp;"]")="","",INDIRECT("Plan_TrainingTravel["&amp;F$6&amp;"]")-INDIRECT("Actual_TrainingTravel["&amp;F$6&amp;"]"))</calculatedColumnFormula>
    </tableColumn>
    <tableColumn id="6" xr3:uid="{00000000-0010-0000-0B00-000006000000}" name="MAY" dataDxfId="80">
      <calculatedColumnFormula>IF(INDIRECT("Actual_TrainingTravel["&amp;G$6&amp;"]")="","",INDIRECT("Plan_TrainingTravel["&amp;G$6&amp;"]")-INDIRECT("Actual_TrainingTravel["&amp;G$6&amp;"]"))</calculatedColumnFormula>
    </tableColumn>
    <tableColumn id="7" xr3:uid="{00000000-0010-0000-0B00-000007000000}" name="JUNE" dataDxfId="79">
      <calculatedColumnFormula>IF(INDIRECT("Actual_TrainingTravel["&amp;H$6&amp;"]")="","",INDIRECT("Plan_TrainingTravel["&amp;H$6&amp;"]")-INDIRECT("Actual_TrainingTravel["&amp;H$6&amp;"]"))</calculatedColumnFormula>
    </tableColumn>
    <tableColumn id="8" xr3:uid="{00000000-0010-0000-0B00-000008000000}" name="JULY" dataDxfId="78">
      <calculatedColumnFormula>IF(INDIRECT("Actual_TrainingTravel["&amp;I$6&amp;"]")="","",INDIRECT("Plan_TrainingTravel["&amp;I$6&amp;"]")-INDIRECT("Actual_TrainingTravel["&amp;I$6&amp;"]"))</calculatedColumnFormula>
    </tableColumn>
    <tableColumn id="9" xr3:uid="{00000000-0010-0000-0B00-000009000000}" name="AUGUST" dataDxfId="77">
      <calculatedColumnFormula>IF(INDIRECT("Actual_TrainingTravel["&amp;J$6&amp;"]")="","",INDIRECT("Plan_TrainingTravel["&amp;J$6&amp;"]")-INDIRECT("Actual_TrainingTravel["&amp;J$6&amp;"]"))</calculatedColumnFormula>
    </tableColumn>
    <tableColumn id="10" xr3:uid="{00000000-0010-0000-0B00-00000A000000}" name="SEPTEMBER" dataDxfId="76">
      <calculatedColumnFormula>IF(INDIRECT("Actual_TrainingTravel["&amp;K$6&amp;"]")="","",INDIRECT("Plan_TrainingTravel["&amp;K$6&amp;"]")-INDIRECT("Actual_TrainingTravel["&amp;K$6&amp;"]"))</calculatedColumnFormula>
    </tableColumn>
    <tableColumn id="11" xr3:uid="{00000000-0010-0000-0B00-00000B000000}" name="OCTOBER" dataDxfId="75">
      <calculatedColumnFormula>IF(INDIRECT("Actual_TrainingTravel["&amp;L$6&amp;"]")="","",INDIRECT("Plan_TrainingTravel["&amp;L$6&amp;"]")-INDIRECT("Actual_TrainingTravel["&amp;L$6&amp;"]"))</calculatedColumnFormula>
    </tableColumn>
    <tableColumn id="12" xr3:uid="{00000000-0010-0000-0B00-00000C000000}" name="NOVEMBER" dataDxfId="74">
      <calculatedColumnFormula>IF(INDIRECT("Actual_TrainingTravel["&amp;M$6&amp;"]")="","",INDIRECT("Plan_TrainingTravel["&amp;M$6&amp;"]")-INDIRECT("Actual_TrainingTravel["&amp;M$6&amp;"]"))</calculatedColumnFormula>
    </tableColumn>
    <tableColumn id="13" xr3:uid="{00000000-0010-0000-0B00-00000D000000}" name="DECEMBER" dataDxfId="73">
      <calculatedColumnFormula>IF(INDIRECT("Actual_TrainingTravel["&amp;N$6&amp;"]")="","",INDIRECT("Plan_TrainingTravel["&amp;N$6&amp;"]")-INDIRECT("Actual_TrainingTravel["&amp;N$6&amp;"]"))</calculatedColumnFormula>
    </tableColumn>
    <tableColumn id="14" xr3:uid="{00000000-0010-0000-0B00-00000E000000}" name="TOTAL" dataDxfId="72">
      <calculatedColumnFormula>SUM(Var_TrainingTravel[[#This Row],[JANUARY]:[DECEMBER]])</calculatedColumnFormula>
    </tableColumn>
  </tableColumns>
  <tableStyleInfo name="List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F31CC-F7BB-4837-93D2-92FC92DF1A95}" name="List" displayName="List" ref="B4:J22" totalsRowShown="0" headerRowDxfId="71" dataDxfId="70" headerRowCellStyle="Normal" dataCellStyle="White Background">
  <autoFilter ref="B4:J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B36F869-CDF9-42C8-8D1D-6D069E78B13C}" name="DONE" dataDxfId="69" dataCellStyle="Normal"/>
    <tableColumn id="2" xr3:uid="{E8D970D1-3286-45DD-BD95-D615BE6A0A99}" name="ITEM" dataDxfId="68" dataCellStyle="Item"/>
    <tableColumn id="9" xr3:uid="{0D78C419-9EA7-4088-8C35-B57C23221924}" name="STORE" dataDxfId="67" dataCellStyle="White Background"/>
    <tableColumn id="3" xr3:uid="{C05427C5-02BB-49E4-8983-B81640E0BD47}" name="CATEGORY" dataDxfId="66" dataCellStyle="White Background"/>
    <tableColumn id="4" xr3:uid="{C0EBBDFF-79EA-42C2-A983-872922C17306}" name="QTY" dataDxfId="65" dataCellStyle="White Background"/>
    <tableColumn id="8" xr3:uid="{0547DCB4-D5AD-4750-A0FD-A44511926D6B}" name="UNIT" dataDxfId="64" dataCellStyle="White Background"/>
    <tableColumn id="5" xr3:uid="{488EADF3-2B52-4A29-8A22-4A01EF83D205}" name="UNIT PRICE" dataDxfId="63" dataCellStyle="Currency Custom"/>
    <tableColumn id="6" xr3:uid="{5246EB4E-6642-40DD-8155-DCB659A41F44}" name="TOTAL" dataDxfId="62" dataCellStyle="Currency Custom">
      <calculatedColumnFormula>IFERROR(List[[#This Row],[QTY]]*List[[#This Row],[UNIT PRICE]],"")</calculatedColumnFormula>
    </tableColumn>
    <tableColumn id="7" xr3:uid="{84AEDEA6-2145-4E2A-9395-8D84B1DEA64B}" name="COMMENT" dataDxfId="61" dataCellStyle="Indent"/>
  </tableColumns>
  <tableStyleInfo name="Grocery List" showFirstColumn="0" showLastColumn="0" showRowStripes="1" showColumnStripes="0"/>
  <extLst>
    <ext xmlns:x14="http://schemas.microsoft.com/office/spreadsheetml/2009/9/main" uri="{504A1905-F514-4f6f-8877-14C23A59335A}">
      <x14:table altTextSummary="Enter Item, Store type, Category, Quantity, Unit, Unit Price, and Comment in this table. Total is automatically 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3B0830-CA7A-4ECF-892B-44AB7631A4E3}" name="List3" displayName="List3" ref="B4:J22" totalsRowShown="0" headerRowDxfId="60" dataDxfId="59" headerRowCellStyle="Normal" dataCellStyle="White Background">
  <autoFilter ref="B4:J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341FAEE-A0CE-4D09-9CF9-B2EABBD1AA18}" name="DONE" dataDxfId="58" dataCellStyle="Normal"/>
    <tableColumn id="2" xr3:uid="{37356317-5D71-4A12-9FAD-5A8FAA4BF9F6}" name="ITEM" dataDxfId="57" dataCellStyle="Item"/>
    <tableColumn id="9" xr3:uid="{82DE050D-8683-44BF-806D-4213F5A311CD}" name="STORE" dataDxfId="56" dataCellStyle="White Background"/>
    <tableColumn id="3" xr3:uid="{E11EA7EC-F19D-43B6-A4A9-AA926D2BAD58}" name="CATEGORY" dataDxfId="55" dataCellStyle="White Background"/>
    <tableColumn id="4" xr3:uid="{36E6FF8F-E0DC-4506-8045-DE86E88DD90E}" name="QTY" dataDxfId="54" dataCellStyle="White Background"/>
    <tableColumn id="8" xr3:uid="{33BA1A7A-7E3A-4382-A895-245888665A45}" name="UNIT" dataDxfId="53" dataCellStyle="White Background"/>
    <tableColumn id="5" xr3:uid="{D6D3DBDD-145A-484C-9D6D-6976EB2A9465}" name="UNIT PRICE" dataDxfId="52" dataCellStyle="Currency Custom"/>
    <tableColumn id="6" xr3:uid="{B2FDD316-B4B3-4DC4-ADF2-26B3DB76BBD0}" name="TOTAL" dataDxfId="51" dataCellStyle="Currency Custom">
      <calculatedColumnFormula>IFERROR(List3[[#This Row],[QTY]]*List3[[#This Row],[UNIT PRICE]],"")</calculatedColumnFormula>
    </tableColumn>
    <tableColumn id="7" xr3:uid="{AF59E382-DD63-491E-A839-78184E33291B}" name="COMMENT" dataDxfId="50" dataCellStyle="Indent"/>
  </tableColumns>
  <tableStyleInfo name="Grocery List" showFirstColumn="0" showLastColumn="0" showRowStripes="1" showColumnStripes="0"/>
  <extLst>
    <ext xmlns:x14="http://schemas.microsoft.com/office/spreadsheetml/2009/9/main" uri="{504A1905-F514-4f6f-8877-14C23A59335A}">
      <x14:table altTextSummary="Enter Item, Store type, Category, Quantity, Unit, Unit Price, and Comment in this table. Total is automatically 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D4151C-CD59-44F5-82DE-E208FE30668F}" name="List4" displayName="List4" ref="B4:J22" totalsRowShown="0" headerRowDxfId="49" dataDxfId="48" headerRowCellStyle="Normal" dataCellStyle="White Background">
  <autoFilter ref="B4:J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BFC0C5B-9559-44B9-8FFA-51D48D685869}" name="DONE" dataDxfId="47" dataCellStyle="Normal"/>
    <tableColumn id="2" xr3:uid="{29CC3B3D-E280-413C-9786-1DF7A03213D3}" name="ITEM" dataDxfId="46" dataCellStyle="Item"/>
    <tableColumn id="9" xr3:uid="{3514EA20-87DF-40A9-A0FD-CD5DD53B5C1F}" name="STORE" dataDxfId="45" dataCellStyle="White Background"/>
    <tableColumn id="3" xr3:uid="{07CDA685-BB7D-4CF1-9E39-297729D7DEA3}" name="CATEGORY" dataDxfId="44" dataCellStyle="White Background"/>
    <tableColumn id="4" xr3:uid="{A5931F50-FF2E-4BC8-9ECF-8FD5BFD7DFE6}" name="QTY" dataDxfId="43" dataCellStyle="White Background"/>
    <tableColumn id="8" xr3:uid="{86A5A96E-725B-45DF-A96C-CE3903CAB402}" name="UNIT" dataDxfId="42" dataCellStyle="White Background"/>
    <tableColumn id="5" xr3:uid="{32E94511-7176-4D9C-A80F-F103FDFF4267}" name="UNIT PRICE" dataDxfId="41" dataCellStyle="Currency Custom"/>
    <tableColumn id="6" xr3:uid="{40889A96-F43F-43BA-B5B1-46FFAF8ABC2C}" name="TOTAL" dataDxfId="40" dataCellStyle="Currency Custom">
      <calculatedColumnFormula>IFERROR(List4[[#This Row],[QTY]]*List4[[#This Row],[UNIT PRICE]],"")</calculatedColumnFormula>
    </tableColumn>
    <tableColumn id="7" xr3:uid="{258C5863-AE0A-4759-AC81-E17D7CF1EF3C}" name="COMMENT" dataDxfId="39" dataCellStyle="Indent"/>
  </tableColumns>
  <tableStyleInfo name="Grocery List" showFirstColumn="0" showLastColumn="0" showRowStripes="1" showColumnStripes="0"/>
  <extLst>
    <ext xmlns:x14="http://schemas.microsoft.com/office/spreadsheetml/2009/9/main" uri="{504A1905-F514-4f6f-8877-14C23A59335A}">
      <x14:table altTextSummary="Enter Item, Store type, Category, Quantity, Unit, Unit Price, and Comment in this table. Total is automatically calculate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1417F6-18C2-4995-B392-AD190496CA90}" name="List5" displayName="List5" ref="B4:J22" totalsRowShown="0" headerRowDxfId="38" dataDxfId="37" headerRowCellStyle="Normal" dataCellStyle="White Background">
  <autoFilter ref="B4:J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21CDCB1-8E29-4B49-9B04-890924341A8D}" name="DONE" dataDxfId="36" dataCellStyle="Normal"/>
    <tableColumn id="2" xr3:uid="{8C985CC5-4BC5-46A4-9694-F6D8DBAB7CC9}" name="ITEM" dataDxfId="35" dataCellStyle="Item"/>
    <tableColumn id="9" xr3:uid="{0F58C75D-F291-44A3-9A02-E47EAA1F3D85}" name="STORE" dataDxfId="34" dataCellStyle="White Background"/>
    <tableColumn id="3" xr3:uid="{159A5961-F6D5-4086-B552-0EB7BE4EC502}" name="CATEGORY" dataDxfId="33" dataCellStyle="White Background"/>
    <tableColumn id="4" xr3:uid="{007DDBD9-75F9-420A-A186-96B080671759}" name="QTY" dataDxfId="32" dataCellStyle="White Background"/>
    <tableColumn id="8" xr3:uid="{4A813FA2-808A-4174-B11D-379396161FEF}" name="UNIT" dataDxfId="31" dataCellStyle="White Background"/>
    <tableColumn id="5" xr3:uid="{6A110A53-C09A-4106-B240-B69DC1CEFF8F}" name="UNIT PRICE" dataDxfId="30" dataCellStyle="Currency Custom"/>
    <tableColumn id="6" xr3:uid="{D83A3F3B-E54F-4A02-B845-73EB5099AC32}" name="TOTAL" dataDxfId="29" dataCellStyle="Currency Custom">
      <calculatedColumnFormula>IFERROR(List5[[#This Row],[QTY]]*List5[[#This Row],[UNIT PRICE]],"")</calculatedColumnFormula>
    </tableColumn>
    <tableColumn id="7" xr3:uid="{2BACE8E6-2C47-4F65-AF57-819046510CAD}" name="COMMENT" dataDxfId="28" dataCellStyle="Indent"/>
  </tableColumns>
  <tableStyleInfo name="Grocery List" showFirstColumn="0" showLastColumn="0" showRowStripes="1" showColumnStripes="0"/>
  <extLst>
    <ext xmlns:x14="http://schemas.microsoft.com/office/spreadsheetml/2009/9/main" uri="{504A1905-F514-4f6f-8877-14C23A59335A}">
      <x14:table altTextSummary="Enter Item, Store type, Category, Quantity, Unit, Unit Price, and Comment in this table. Total is automatically calculate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8015D3-E801-4BBE-B9DE-A130E58F44F4}" name="List7" displayName="List7" ref="B4:J22" totalsRowShown="0" headerRowDxfId="27" dataDxfId="26" headerRowCellStyle="Normal" dataCellStyle="White Background">
  <autoFilter ref="B4:J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E90B067-CDD0-4890-9021-7603B2F5DDD0}" name="STATE" dataDxfId="25" dataCellStyle="Normal"/>
    <tableColumn id="2" xr3:uid="{2C23B713-90D8-4E3D-89CA-A59E33E82B0A}" name="SUBJECT" dataDxfId="24" dataCellStyle="Item"/>
    <tableColumn id="9" xr3:uid="{66416622-880D-4025-ACF2-1E40E10851F0}" name="PARTS" dataDxfId="23" dataCellStyle="White Background"/>
    <tableColumn id="3" xr3:uid="{BA57B00B-2E2A-467E-BECC-C28C5962A12F}" name="REASON" dataDxfId="22" dataCellStyle="White Background"/>
    <tableColumn id="4" xr3:uid="{299B1C57-E65E-4FD5-BDB9-AF006AEBB73D}" name="DIFFICULTY_x000a_LEVEL(10)" dataDxfId="21" dataCellStyle="White Background"/>
    <tableColumn id="8" xr3:uid="{5BB76C60-0793-4D6C-9D28-7F3CA4D7A3A5}" name="DURATION_x000a_(days)" dataDxfId="20" dataCellStyle="White Background"/>
    <tableColumn id="5" xr3:uid="{8886967D-6833-4F80-87F2-6919FDA49043}" name="TIME SPEND (minutes)" dataDxfId="19" dataCellStyle="Currency Custom"/>
    <tableColumn id="6" xr3:uid="{B3A8454C-D3AE-4735-AB88-7560687B06C1}" name="TOTAL" dataDxfId="18" dataCellStyle="Currency Custom">
      <calculatedColumnFormula>IFERROR(List7[[#This Row],[DIFFICULTY
LEVEL(10)]]*List7[[#This Row],[TIME SPEND (minutes)]],"")</calculatedColumnFormula>
    </tableColumn>
    <tableColumn id="7" xr3:uid="{EB8DEEDD-985C-4B7E-B102-29CD801A7878}" name="COMMENT" dataDxfId="17" dataCellStyle="Indent"/>
  </tableColumns>
  <tableStyleInfo name="Grocery List" showFirstColumn="0" showLastColumn="0" showRowStripes="1" showColumnStripes="0"/>
  <extLst>
    <ext xmlns:x14="http://schemas.microsoft.com/office/spreadsheetml/2009/9/main" uri="{504A1905-F514-4f6f-8877-14C23A59335A}">
      <x14:table altTextSummary="Enter Item, Store type, Category, Quantity, Unit, Unit Price, and Comment in this table. Total is automatically calculate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5C22048-0BBB-475A-9E14-54E178DD15A7}" name="List12" displayName="List12" ref="B4:J22" totalsRowShown="0" headerRowDxfId="169" dataDxfId="168" headerRowCellStyle="Normal" dataCellStyle="White Background">
  <autoFilter ref="B4:J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D5E119C-1B95-491A-89FF-D3CE07302192}" name="DONE" dataDxfId="167" dataCellStyle="Normal"/>
    <tableColumn id="2" xr3:uid="{56FA536B-8DEB-4CEC-92ED-A23B295CD5CB}" name="NAME" dataDxfId="166" dataCellStyle="Item"/>
    <tableColumn id="9" xr3:uid="{3979DAA4-B81B-4632-B02B-03650C0805E2}" name="TYPE OF INFORMATION" dataDxfId="165" dataCellStyle="White Background"/>
    <tableColumn id="3" xr3:uid="{B6DCB561-3C34-451F-BB62-F609E533B639}" name="CATEGORY" dataDxfId="164" dataCellStyle="White Background"/>
    <tableColumn id="4" xr3:uid="{B94E2BD2-6B06-4CEF-8A96-7D9585A5EBE3}" name="QTY" dataDxfId="163" dataCellStyle="White Background"/>
    <tableColumn id="8" xr3:uid="{A5E41472-7BD9-4543-A9D8-647425E340C4}" name="OBTAINED" dataDxfId="162" dataCellStyle="White Background"/>
    <tableColumn id="5" xr3:uid="{C83231CF-191E-420C-A3EB-F3B1AC420DF1}" name="UNIT PRICE" dataDxfId="161" dataCellStyle="Currency Custom"/>
    <tableColumn id="6" xr3:uid="{2EAEE1FB-82DF-4EF6-B61C-4E3D0EAFE6FE}" name="TOTAL" dataDxfId="160" dataCellStyle="Currency Custom">
      <calculatedColumnFormula>IFERROR(List12[[#This Row],[QTY]]*List12[[#This Row],[UNIT PRICE]],"")</calculatedColumnFormula>
    </tableColumn>
    <tableColumn id="7" xr3:uid="{0BBF8D9A-9135-47CB-969F-48708A3165F3}" name="COMMENT" dataDxfId="159" dataCellStyle="Indent"/>
  </tableColumns>
  <tableStyleInfo name="Grocery List" showFirstColumn="0" showLastColumn="0" showRowStripes="1" showColumnStripes="0"/>
  <extLst>
    <ext xmlns:x14="http://schemas.microsoft.com/office/spreadsheetml/2009/9/main" uri="{504A1905-F514-4f6f-8877-14C23A59335A}">
      <x14:table altTextSummary="Enter Item, Store type, Category, Quantity, Unit, Unit Price, and Comment in this table. Total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Babysitter checklist">
      <a:dk1>
        <a:srgbClr val="000000"/>
      </a:dk1>
      <a:lt1>
        <a:srgbClr val="FFFFFF"/>
      </a:lt1>
      <a:dk2>
        <a:srgbClr val="01242F"/>
      </a:dk2>
      <a:lt2>
        <a:srgbClr val="EFEFEF"/>
      </a:lt2>
      <a:accent1>
        <a:srgbClr val="009B7A"/>
      </a:accent1>
      <a:accent2>
        <a:srgbClr val="80AF17"/>
      </a:accent2>
      <a:accent3>
        <a:srgbClr val="D95226"/>
      </a:accent3>
      <a:accent4>
        <a:srgbClr val="DDB300"/>
      </a:accent4>
      <a:accent5>
        <a:srgbClr val="068FBD"/>
      </a:accent5>
      <a:accent6>
        <a:srgbClr val="9F218B"/>
      </a:accent6>
      <a:hlink>
        <a:srgbClr val="068FBD"/>
      </a:hlink>
      <a:folHlink>
        <a:srgbClr val="9F218B"/>
      </a:folHlink>
    </a:clrScheme>
    <a:fontScheme name="Babysitter checklist">
      <a:majorFont>
        <a:latin typeface="Corbel"/>
        <a:ea typeface=""/>
        <a:cs typeface=""/>
      </a:majorFont>
      <a:minorFont>
        <a:latin typeface="Corbe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>
            <a:lumMod val="10000"/>
            <a:lumOff val="90000"/>
          </a:schemeClr>
        </a:solidFill>
        <a:ln w="19050">
          <a:solidFill>
            <a:schemeClr val="tx2">
              <a:lumMod val="75000"/>
              <a:lumOff val="25000"/>
            </a:schemeClr>
          </a:solidFill>
        </a:ln>
      </a:spPr>
      <a:bodyPr vertOverflow="clip" horzOverflow="clip" rtlCol="0" anchor="ctr"/>
      <a:lstStyle>
        <a:defPPr algn="l">
          <a:defRPr sz="110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3"/>
    <pageSetUpPr fitToPage="1"/>
  </sheetPr>
  <dimension ref="A1:O33"/>
  <sheetViews>
    <sheetView showGridLines="0" zoomScaleNormal="100" workbookViewId="0">
      <selection activeCell="E35" sqref="E35"/>
    </sheetView>
  </sheetViews>
  <sheetFormatPr defaultRowHeight="14.4"/>
  <cols>
    <col min="1" max="1" width="11.6640625" customWidth="1"/>
    <col min="2" max="14" width="10" customWidth="1"/>
    <col min="15" max="15" width="34.21875" customWidth="1"/>
  </cols>
  <sheetData>
    <row r="1" spans="1:15" ht="31.8" thickBot="1">
      <c r="A1" s="1"/>
      <c r="B1" s="168" t="s">
        <v>0</v>
      </c>
      <c r="C1" s="168"/>
      <c r="D1" s="168"/>
      <c r="E1" s="168"/>
      <c r="F1" s="168"/>
      <c r="G1" s="169" t="s">
        <v>1</v>
      </c>
      <c r="H1" s="169"/>
      <c r="I1" s="169"/>
      <c r="J1" s="166"/>
      <c r="K1" s="166"/>
      <c r="L1" s="166"/>
      <c r="M1" s="166"/>
      <c r="N1" s="166"/>
      <c r="O1" s="10" t="s">
        <v>45</v>
      </c>
    </row>
    <row r="2" spans="1:15" ht="35.1" customHeight="1" thickBot="1">
      <c r="A2" s="2" t="s">
        <v>43</v>
      </c>
      <c r="B2" s="2" t="s">
        <v>2</v>
      </c>
      <c r="C2" s="2" t="s">
        <v>3</v>
      </c>
      <c r="D2" s="9" t="s">
        <v>38</v>
      </c>
      <c r="E2" s="2" t="s">
        <v>4</v>
      </c>
      <c r="F2" s="2" t="s">
        <v>39</v>
      </c>
      <c r="G2" s="2" t="s">
        <v>40</v>
      </c>
      <c r="H2" s="2" t="s">
        <v>5</v>
      </c>
      <c r="I2" s="2" t="s">
        <v>6</v>
      </c>
      <c r="J2" s="2" t="s">
        <v>41</v>
      </c>
      <c r="K2" s="2" t="s">
        <v>42</v>
      </c>
      <c r="L2" s="2" t="s">
        <v>7</v>
      </c>
      <c r="M2" s="2" t="s">
        <v>7</v>
      </c>
      <c r="N2" s="2" t="s">
        <v>7</v>
      </c>
      <c r="O2" s="11"/>
    </row>
    <row r="3" spans="1:15" ht="18" customHeight="1" thickBot="1">
      <c r="A3" s="8" t="s">
        <v>8</v>
      </c>
      <c r="B3" s="5"/>
      <c r="C3" s="5"/>
      <c r="D3" s="5"/>
      <c r="E3" s="5"/>
      <c r="F3" s="5"/>
      <c r="G3" s="5">
        <v>1</v>
      </c>
      <c r="H3" s="5"/>
      <c r="I3" s="5"/>
      <c r="J3" s="5"/>
      <c r="K3" s="7"/>
      <c r="L3" s="5"/>
      <c r="M3" s="5"/>
      <c r="N3" s="5"/>
      <c r="O3" s="11"/>
    </row>
    <row r="4" spans="1:15" ht="18" customHeight="1" thickBot="1">
      <c r="A4" s="8" t="s">
        <v>9</v>
      </c>
      <c r="B4" s="5"/>
      <c r="C4" s="5"/>
      <c r="D4" s="5"/>
      <c r="E4" s="5">
        <v>1</v>
      </c>
      <c r="F4" s="6" t="s">
        <v>44</v>
      </c>
      <c r="G4" s="5"/>
      <c r="H4" s="5"/>
      <c r="I4" s="5"/>
      <c r="J4" s="5"/>
      <c r="K4" s="7"/>
      <c r="L4" s="5"/>
      <c r="M4" s="5"/>
      <c r="N4" s="5"/>
      <c r="O4" s="11"/>
    </row>
    <row r="5" spans="1:15" ht="18" customHeight="1" thickBot="1">
      <c r="A5" s="8" t="s">
        <v>10</v>
      </c>
      <c r="B5" s="5"/>
      <c r="C5" s="5"/>
      <c r="D5" s="5"/>
      <c r="E5" s="5"/>
      <c r="F5" s="5"/>
      <c r="G5" s="5"/>
      <c r="H5" s="5"/>
      <c r="I5" s="5"/>
      <c r="J5" s="5">
        <v>1</v>
      </c>
      <c r="K5" s="7"/>
      <c r="L5" s="5"/>
      <c r="M5" s="5"/>
      <c r="N5" s="5"/>
    </row>
    <row r="6" spans="1:15" ht="18" customHeight="1" thickBot="1">
      <c r="A6" s="8" t="s">
        <v>11</v>
      </c>
      <c r="B6" s="5"/>
      <c r="C6" s="5"/>
      <c r="D6" s="5"/>
      <c r="E6" s="5"/>
      <c r="F6" s="5"/>
      <c r="G6" s="5"/>
      <c r="H6" s="5"/>
      <c r="I6" s="5"/>
      <c r="J6" s="5">
        <v>1</v>
      </c>
      <c r="K6" s="7"/>
      <c r="L6" s="5"/>
      <c r="M6" s="5"/>
      <c r="N6" s="5"/>
    </row>
    <row r="7" spans="1:15" ht="18" customHeight="1" thickBot="1">
      <c r="A7" s="8" t="s">
        <v>12</v>
      </c>
      <c r="B7" s="5"/>
      <c r="C7" s="5"/>
      <c r="D7" s="5"/>
      <c r="E7" s="5"/>
      <c r="F7" s="5"/>
      <c r="G7" s="5"/>
      <c r="H7" s="5"/>
      <c r="I7" s="5"/>
      <c r="J7" s="5">
        <v>1</v>
      </c>
      <c r="K7" s="7"/>
      <c r="L7" s="5"/>
      <c r="M7" s="5"/>
      <c r="N7" s="5"/>
    </row>
    <row r="8" spans="1:15" ht="18" customHeight="1" thickBot="1">
      <c r="A8" s="8" t="s">
        <v>13</v>
      </c>
      <c r="B8" s="5"/>
      <c r="C8" s="5"/>
      <c r="D8" s="5"/>
      <c r="E8" s="5"/>
      <c r="F8" s="5"/>
      <c r="G8" s="5">
        <v>1</v>
      </c>
      <c r="H8" s="5"/>
      <c r="I8" s="5"/>
      <c r="J8" s="5"/>
      <c r="K8" s="7">
        <v>1</v>
      </c>
      <c r="L8" s="5"/>
      <c r="M8" s="5"/>
      <c r="N8" s="5"/>
    </row>
    <row r="9" spans="1:15" ht="18" customHeight="1" thickBot="1">
      <c r="A9" s="8" t="s">
        <v>14</v>
      </c>
      <c r="B9" s="5"/>
      <c r="C9" s="5"/>
      <c r="D9" s="5">
        <v>1</v>
      </c>
      <c r="E9" s="5">
        <v>1</v>
      </c>
      <c r="F9" s="5"/>
      <c r="G9" s="5"/>
      <c r="H9" s="5">
        <v>1</v>
      </c>
      <c r="I9" s="5"/>
      <c r="J9" s="5"/>
      <c r="K9" s="7"/>
      <c r="L9" s="5"/>
      <c r="M9" s="5"/>
      <c r="N9" s="5"/>
    </row>
    <row r="10" spans="1:15" ht="18" customHeight="1" thickBot="1">
      <c r="A10" s="8" t="s">
        <v>15</v>
      </c>
      <c r="B10" s="5"/>
      <c r="C10" s="5"/>
      <c r="D10" s="5"/>
      <c r="E10" s="5"/>
      <c r="F10" s="5"/>
      <c r="G10" s="5"/>
      <c r="H10" s="5"/>
      <c r="I10" s="5"/>
      <c r="J10" s="5"/>
      <c r="K10" s="7"/>
      <c r="L10" s="5"/>
      <c r="M10" s="5"/>
      <c r="N10" s="5"/>
    </row>
    <row r="11" spans="1:15" ht="18" customHeight="1" thickBot="1">
      <c r="A11" s="8" t="s">
        <v>16</v>
      </c>
      <c r="B11" s="5"/>
      <c r="C11" s="5"/>
      <c r="D11" s="5"/>
      <c r="E11" s="5"/>
      <c r="F11" s="5"/>
      <c r="G11" s="5"/>
      <c r="H11" s="5"/>
      <c r="I11" s="5"/>
      <c r="J11" s="5"/>
      <c r="K11" s="7"/>
      <c r="L11" s="5"/>
      <c r="M11" s="5"/>
      <c r="N11" s="5"/>
    </row>
    <row r="12" spans="1:15" ht="18" customHeight="1" thickBot="1">
      <c r="A12" s="8" t="s">
        <v>17</v>
      </c>
      <c r="B12" s="5"/>
      <c r="C12" s="5"/>
      <c r="D12" s="5"/>
      <c r="E12" s="5"/>
      <c r="F12" s="5"/>
      <c r="G12" s="5"/>
      <c r="H12" s="5"/>
      <c r="I12" s="5"/>
      <c r="J12" s="5"/>
      <c r="K12" s="7"/>
      <c r="L12" s="5"/>
      <c r="M12" s="5"/>
      <c r="N12" s="5"/>
    </row>
    <row r="13" spans="1:15" ht="18" customHeight="1" thickBot="1">
      <c r="A13" s="8" t="s">
        <v>18</v>
      </c>
      <c r="B13" s="5">
        <v>1</v>
      </c>
      <c r="C13" s="5"/>
      <c r="D13" s="5"/>
      <c r="E13" s="5"/>
      <c r="F13" s="5"/>
      <c r="G13" s="5"/>
      <c r="H13" s="5"/>
      <c r="I13" s="5"/>
      <c r="J13" s="5"/>
      <c r="K13" s="7"/>
      <c r="L13" s="5"/>
      <c r="M13" s="5"/>
      <c r="N13" s="5"/>
    </row>
    <row r="14" spans="1:15" ht="18" customHeight="1" thickBot="1">
      <c r="A14" s="8" t="s">
        <v>19</v>
      </c>
      <c r="B14" s="5"/>
      <c r="C14" s="5"/>
      <c r="D14" s="5">
        <v>1</v>
      </c>
      <c r="E14" s="5"/>
      <c r="F14" s="5"/>
      <c r="G14" s="5"/>
      <c r="H14" s="5"/>
      <c r="I14" s="5"/>
      <c r="J14" s="5"/>
      <c r="K14" s="7"/>
      <c r="L14" s="5"/>
      <c r="M14" s="5"/>
      <c r="N14" s="5"/>
    </row>
    <row r="15" spans="1:15" ht="18" customHeight="1" thickBot="1">
      <c r="A15" s="8" t="s">
        <v>20</v>
      </c>
      <c r="B15" s="5"/>
      <c r="C15" s="5"/>
      <c r="D15" s="5">
        <v>1</v>
      </c>
      <c r="E15" s="5"/>
      <c r="F15" s="5"/>
      <c r="G15" s="5"/>
      <c r="H15" s="5"/>
      <c r="I15" s="5"/>
      <c r="J15" s="5"/>
      <c r="K15" s="7"/>
      <c r="L15" s="5"/>
      <c r="M15" s="5"/>
      <c r="N15" s="5"/>
    </row>
    <row r="16" spans="1:15" ht="18" customHeight="1" thickBot="1">
      <c r="A16" s="8" t="s">
        <v>21</v>
      </c>
      <c r="B16" s="5"/>
      <c r="C16" s="5"/>
      <c r="D16" s="5"/>
      <c r="E16" s="5"/>
      <c r="F16" s="5"/>
      <c r="G16" s="5">
        <v>1</v>
      </c>
      <c r="H16" s="5"/>
      <c r="I16" s="5"/>
      <c r="J16" s="5"/>
      <c r="K16" s="7"/>
      <c r="L16" s="5"/>
      <c r="M16" s="5"/>
      <c r="N16" s="5"/>
    </row>
    <row r="17" spans="1:14" ht="18" customHeight="1" thickBot="1">
      <c r="A17" s="8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7"/>
      <c r="L17" s="5"/>
      <c r="M17" s="5"/>
      <c r="N17" s="5"/>
    </row>
    <row r="18" spans="1:14" ht="18" customHeight="1" thickBot="1">
      <c r="A18" s="8" t="s">
        <v>23</v>
      </c>
      <c r="B18" s="5"/>
      <c r="C18" s="5"/>
      <c r="D18" s="5"/>
      <c r="E18" s="5"/>
      <c r="F18" s="5"/>
      <c r="G18" s="5"/>
      <c r="H18" s="5"/>
      <c r="I18" s="5"/>
      <c r="J18" s="5"/>
      <c r="K18" s="7"/>
      <c r="L18" s="5"/>
      <c r="M18" s="5"/>
      <c r="N18" s="5"/>
    </row>
    <row r="19" spans="1:14" ht="18" customHeight="1" thickBot="1">
      <c r="A19" s="8" t="s">
        <v>24</v>
      </c>
      <c r="B19" s="5"/>
      <c r="C19" s="5"/>
      <c r="D19" s="5">
        <v>1</v>
      </c>
      <c r="E19" s="5">
        <v>1</v>
      </c>
      <c r="F19" s="5"/>
      <c r="G19" s="5"/>
      <c r="H19" s="5"/>
      <c r="I19" s="5"/>
      <c r="J19" s="5"/>
      <c r="K19" s="7"/>
      <c r="L19" s="5"/>
      <c r="M19" s="5"/>
      <c r="N19" s="5"/>
    </row>
    <row r="20" spans="1:14" ht="18" customHeight="1" thickBot="1">
      <c r="A20" s="8" t="s">
        <v>25</v>
      </c>
      <c r="B20" s="5"/>
      <c r="C20" s="5"/>
      <c r="D20" s="5">
        <v>1</v>
      </c>
      <c r="E20" s="5">
        <v>1</v>
      </c>
      <c r="F20" s="5"/>
      <c r="G20" s="5"/>
      <c r="H20" s="5"/>
      <c r="I20" s="5"/>
      <c r="J20" s="5"/>
      <c r="K20" s="7"/>
      <c r="L20" s="5"/>
      <c r="M20" s="5"/>
      <c r="N20" s="5"/>
    </row>
    <row r="21" spans="1:14" ht="18" customHeight="1" thickBot="1">
      <c r="A21" s="8" t="s">
        <v>26</v>
      </c>
      <c r="B21" s="5"/>
      <c r="C21" s="5"/>
      <c r="D21" s="5"/>
      <c r="E21" s="5"/>
      <c r="F21" s="5"/>
      <c r="G21" s="5"/>
      <c r="H21" s="5"/>
      <c r="I21" s="5"/>
      <c r="J21" s="5"/>
      <c r="K21" s="7"/>
      <c r="L21" s="5"/>
      <c r="M21" s="5"/>
      <c r="N21" s="5"/>
    </row>
    <row r="22" spans="1:14" ht="18" customHeight="1" thickBot="1">
      <c r="A22" s="8" t="s">
        <v>27</v>
      </c>
      <c r="B22" s="5"/>
      <c r="C22" s="5"/>
      <c r="D22" s="5"/>
      <c r="E22" s="5"/>
      <c r="F22" s="5"/>
      <c r="G22" s="5"/>
      <c r="H22" s="5"/>
      <c r="I22" s="5"/>
      <c r="J22" s="5"/>
      <c r="K22" s="7"/>
      <c r="L22" s="5"/>
      <c r="M22" s="5"/>
      <c r="N22" s="5"/>
    </row>
    <row r="23" spans="1:14" ht="18" customHeight="1" thickBot="1">
      <c r="A23" s="8" t="s">
        <v>28</v>
      </c>
      <c r="B23" s="5"/>
      <c r="C23" s="5"/>
      <c r="D23" s="5"/>
      <c r="E23" s="5"/>
      <c r="F23" s="5"/>
      <c r="G23" s="5"/>
      <c r="H23" s="5"/>
      <c r="I23" s="5"/>
      <c r="J23" s="5"/>
      <c r="K23" s="7"/>
      <c r="L23" s="5"/>
      <c r="M23" s="5"/>
      <c r="N23" s="5"/>
    </row>
    <row r="24" spans="1:14" ht="18" customHeight="1" thickBot="1">
      <c r="A24" s="8" t="s">
        <v>29</v>
      </c>
      <c r="B24" s="5"/>
      <c r="C24" s="5"/>
      <c r="D24" s="5"/>
      <c r="E24" s="5"/>
      <c r="F24" s="5"/>
      <c r="G24" s="5"/>
      <c r="H24" s="5"/>
      <c r="I24" s="5"/>
      <c r="J24" s="5"/>
      <c r="K24" s="7"/>
      <c r="L24" s="5"/>
      <c r="M24" s="5"/>
      <c r="N24" s="5"/>
    </row>
    <row r="25" spans="1:14" ht="18" customHeight="1" thickBot="1">
      <c r="A25" s="8" t="s">
        <v>30</v>
      </c>
      <c r="B25" s="5"/>
      <c r="C25" s="5"/>
      <c r="D25" s="5"/>
      <c r="E25" s="5"/>
      <c r="F25" s="5"/>
      <c r="G25" s="5"/>
      <c r="H25" s="5"/>
      <c r="I25" s="5"/>
      <c r="J25" s="5"/>
      <c r="K25" s="7"/>
      <c r="L25" s="5"/>
      <c r="M25" s="5"/>
      <c r="N25" s="5"/>
    </row>
    <row r="26" spans="1:14" ht="18" customHeight="1" thickBot="1">
      <c r="A26" s="8" t="s">
        <v>31</v>
      </c>
      <c r="B26" s="5"/>
      <c r="C26" s="5"/>
      <c r="D26" s="5"/>
      <c r="E26" s="5"/>
      <c r="F26" s="5"/>
      <c r="G26" s="5"/>
      <c r="H26" s="5"/>
      <c r="I26" s="5"/>
      <c r="J26" s="5"/>
      <c r="K26" s="7"/>
      <c r="L26" s="5"/>
      <c r="M26" s="5"/>
      <c r="N26" s="5"/>
    </row>
    <row r="27" spans="1:14" ht="18" customHeight="1" thickBot="1">
      <c r="A27" s="8" t="s">
        <v>32</v>
      </c>
      <c r="B27" s="5"/>
      <c r="C27" s="5"/>
      <c r="D27" s="5"/>
      <c r="E27" s="5"/>
      <c r="F27" s="5"/>
      <c r="G27" s="5"/>
      <c r="H27" s="5"/>
      <c r="I27" s="5"/>
      <c r="J27" s="5"/>
      <c r="K27" s="7"/>
      <c r="L27" s="5"/>
      <c r="M27" s="5"/>
      <c r="N27" s="5"/>
    </row>
    <row r="28" spans="1:14" ht="18" customHeight="1" thickBot="1">
      <c r="A28" s="8" t="s">
        <v>33</v>
      </c>
      <c r="B28" s="5"/>
      <c r="C28" s="5"/>
      <c r="D28" s="5"/>
      <c r="E28" s="5"/>
      <c r="F28" s="5"/>
      <c r="G28" s="5"/>
      <c r="H28" s="5"/>
      <c r="I28" s="5"/>
      <c r="J28" s="5"/>
      <c r="K28" s="7"/>
      <c r="L28" s="5"/>
      <c r="M28" s="5"/>
      <c r="N28" s="5"/>
    </row>
    <row r="29" spans="1:14" ht="18" customHeight="1" thickBot="1">
      <c r="A29" s="8" t="s">
        <v>34</v>
      </c>
      <c r="B29" s="5"/>
      <c r="C29" s="5"/>
      <c r="D29" s="5"/>
      <c r="E29" s="5"/>
      <c r="F29" s="5"/>
      <c r="G29" s="5"/>
      <c r="H29" s="5"/>
      <c r="I29" s="5"/>
      <c r="J29" s="5"/>
      <c r="K29" s="7"/>
      <c r="L29" s="5"/>
      <c r="M29" s="5"/>
      <c r="N29" s="5"/>
    </row>
    <row r="30" spans="1:14" ht="18" customHeight="1" thickBot="1">
      <c r="A30" s="8" t="s">
        <v>35</v>
      </c>
      <c r="B30" s="5"/>
      <c r="C30" s="5"/>
      <c r="D30" s="5"/>
      <c r="E30" s="5"/>
      <c r="F30" s="5"/>
      <c r="G30" s="5"/>
      <c r="H30" s="5"/>
      <c r="I30" s="5"/>
      <c r="J30" s="5"/>
      <c r="K30" s="7"/>
      <c r="L30" s="5"/>
      <c r="M30" s="5"/>
      <c r="N30" s="5"/>
    </row>
    <row r="31" spans="1:14" ht="18" customHeight="1" thickBot="1">
      <c r="A31" s="8" t="s">
        <v>36</v>
      </c>
      <c r="B31" s="5"/>
      <c r="C31" s="5"/>
      <c r="D31" s="5"/>
      <c r="E31" s="5"/>
      <c r="F31" s="5"/>
      <c r="G31" s="5"/>
      <c r="H31" s="5"/>
      <c r="I31" s="5"/>
      <c r="J31" s="5"/>
      <c r="K31" s="7"/>
      <c r="L31" s="5"/>
      <c r="M31" s="5"/>
      <c r="N31" s="5"/>
    </row>
    <row r="32" spans="1:14" ht="15.9" customHeight="1" thickBot="1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45" customHeight="1" thickBot="1">
      <c r="B33" s="4" t="s">
        <v>37</v>
      </c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</row>
  </sheetData>
  <mergeCells count="4">
    <mergeCell ref="J1:N1"/>
    <mergeCell ref="C33:N33"/>
    <mergeCell ref="B1:F1"/>
    <mergeCell ref="G1:I1"/>
  </mergeCells>
  <dataValidations count="10">
    <dataValidation allowBlank="1" showInputMessage="1" showErrorMessage="1" prompt="Create a Child Care Log in this worksheet. Enter a 1 in cells B3 through N31 to mark items done or to flag a Discipline Problem in the Discipline Problem column" sqref="A1" xr:uid="{00000000-0002-0000-0000-000000000000}"/>
    <dataValidation allowBlank="1" showInputMessage="1" showErrorMessage="1" prompt="Title of this worksheet is in this cell. Enter Child's Name in cell at right" sqref="B1:F1" xr:uid="{00000000-0002-0000-0000-000001000000}"/>
    <dataValidation allowBlank="1" showInputMessage="1" showErrorMessage="1" prompt="Enter Child's Name in cell at right" sqref="G1:I1" xr:uid="{00000000-0002-0000-0000-000002000000}"/>
    <dataValidation allowBlank="1" showInputMessage="1" showErrorMessage="1" prompt="Enter Child’s Name in this cell and Notes in cell C33" sqref="J1:N1" xr:uid="{00000000-0002-0000-0000-000003000000}"/>
    <dataValidation allowBlank="1" showInputMessage="1" showErrorMessage="1" prompt="Time is in this column under this heading" sqref="A2" xr:uid="{00000000-0002-0000-0000-000004000000}"/>
    <dataValidation allowBlank="1" showInputMessage="1" showErrorMessage="1" prompt="Enter Notes in cell at right" sqref="B33" xr:uid="{00000000-0002-0000-0000-000005000000}"/>
    <dataValidation allowBlank="1" showInputMessage="1" showErrorMessage="1" prompt="Enter Notes in this cell and cells below" sqref="C33:N33" xr:uid="{00000000-0002-0000-0000-000006000000}"/>
    <dataValidation allowBlank="1" showInputMessage="1" showErrorMessage="1" prompt="Enter a 1 when this task is completed in this column under this heading" sqref="B2:J2" xr:uid="{00000000-0002-0000-0000-000007000000}"/>
    <dataValidation allowBlank="1" showInputMessage="1" showErrorMessage="1" prompt="Enter a 1 to indicate a Discipline Problem in this column under this heading" sqref="K2" xr:uid="{00000000-0002-0000-0000-000008000000}"/>
    <dataValidation allowBlank="1" showInputMessage="1" showErrorMessage="1" prompt="Enter a custom task followed by a 1 when the task is completed in this column under this heading" sqref="L2:N2" xr:uid="{00000000-0002-0000-0000-000009000000}"/>
  </dataValidations>
  <printOptions horizontalCentered="1"/>
  <pageMargins left="0.4" right="0.4" top="0.4" bottom="0.4" header="0.3" footer="0.3"/>
  <pageSetup scale="80" fitToHeight="0" orientation="landscape" r:id="rId1"/>
  <headerFooter differentFirst="1"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7D0BB42-BDA5-4E39-9362-CAAD686CEE9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B3:J31 L3:N31</xm:sqref>
        </x14:conditionalFormatting>
        <x14:conditionalFormatting xmlns:xm="http://schemas.microsoft.com/office/excel/2006/main">
          <x14:cfRule type="iconSet" priority="1" id="{2F37A199-9A89-448F-8731-304218E14043}">
            <x14:iconSet iconSet="3Flag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K3:K31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7EC3-22F6-4524-86CC-E464D2BEB953}">
  <sheetPr>
    <tabColor theme="4"/>
    <pageSetUpPr fitToPage="1"/>
  </sheetPr>
  <dimension ref="A1:M30"/>
  <sheetViews>
    <sheetView showGridLines="0" zoomScaleNormal="100" workbookViewId="0">
      <selection activeCell="D3" sqref="D3"/>
    </sheetView>
  </sheetViews>
  <sheetFormatPr defaultColWidth="9.5546875" defaultRowHeight="21" customHeight="1"/>
  <cols>
    <col min="1" max="1" width="3.44140625" style="65" customWidth="1"/>
    <col min="2" max="2" width="13.44140625" style="66" customWidth="1"/>
    <col min="3" max="3" width="38.44140625" style="66" customWidth="1"/>
    <col min="4" max="5" width="23.44140625" style="66" customWidth="1"/>
    <col min="6" max="6" width="13.44140625" style="66" customWidth="1"/>
    <col min="7" max="7" width="16" style="66" customWidth="1"/>
    <col min="8" max="8" width="23.44140625" style="66" customWidth="1"/>
    <col min="9" max="9" width="16" style="66" customWidth="1"/>
    <col min="10" max="10" width="38.44140625" style="66" customWidth="1"/>
    <col min="11" max="11" width="3.44140625" style="66" customWidth="1"/>
    <col min="12" max="12" width="32.21875" style="67" customWidth="1"/>
    <col min="13" max="13" width="3.44140625" style="28" customWidth="1"/>
    <col min="14" max="14" width="3.44140625" style="29" customWidth="1"/>
    <col min="15" max="16384" width="9.5546875" style="29"/>
  </cols>
  <sheetData>
    <row r="1" spans="1:13" ht="19.95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7" t="str">
        <f>[1]calculations!M9</f>
        <v>DAIRY TOTAL</v>
      </c>
      <c r="M1" s="28" t="s">
        <v>59</v>
      </c>
    </row>
    <row r="2" spans="1:13" ht="169.95" customHeight="1">
      <c r="A2" s="25"/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3" s="32" customFormat="1" ht="70.2" customHeight="1">
      <c r="B3" s="33" t="s">
        <v>195</v>
      </c>
      <c r="C3" s="34"/>
      <c r="D3" s="35"/>
      <c r="E3" s="35"/>
      <c r="F3" s="35"/>
      <c r="G3" s="35"/>
      <c r="H3" s="35"/>
      <c r="I3" s="35"/>
      <c r="J3" s="35"/>
      <c r="K3" s="35"/>
      <c r="L3" s="36"/>
      <c r="M3" s="37"/>
    </row>
    <row r="4" spans="1:13" s="43" customFormat="1" ht="30" customHeight="1">
      <c r="A4" s="38"/>
      <c r="B4" s="39" t="s">
        <v>61</v>
      </c>
      <c r="C4" s="39" t="s">
        <v>62</v>
      </c>
      <c r="D4" s="39" t="s">
        <v>63</v>
      </c>
      <c r="E4" s="39" t="s">
        <v>64</v>
      </c>
      <c r="F4" s="39" t="s">
        <v>65</v>
      </c>
      <c r="G4" s="39" t="s">
        <v>66</v>
      </c>
      <c r="H4" s="39" t="s">
        <v>67</v>
      </c>
      <c r="I4" s="39" t="s">
        <v>68</v>
      </c>
      <c r="J4" s="39" t="s">
        <v>69</v>
      </c>
      <c r="K4" s="40"/>
      <c r="L4" s="41" t="str">
        <f>[1]calculations!M6</f>
        <v>SEAFOOD TOTAL</v>
      </c>
      <c r="M4" s="42"/>
    </row>
    <row r="5" spans="1:13" s="43" customFormat="1" ht="30" customHeight="1">
      <c r="A5" s="38"/>
      <c r="B5" s="44">
        <v>1</v>
      </c>
      <c r="C5" s="45" t="s">
        <v>70</v>
      </c>
      <c r="D5" s="46" t="s">
        <v>71</v>
      </c>
      <c r="E5" s="46" t="s">
        <v>72</v>
      </c>
      <c r="F5" s="46">
        <v>2</v>
      </c>
      <c r="G5" s="46" t="s">
        <v>73</v>
      </c>
      <c r="H5" s="47">
        <v>2.99</v>
      </c>
      <c r="I5" s="48">
        <f>IFERROR(List6[[#This Row],[QTY]]*List6[[#This Row],[UNIT PRICE]],"")</f>
        <v>5.98</v>
      </c>
      <c r="J5" s="49"/>
      <c r="K5" s="40"/>
      <c r="L5" s="50">
        <f>[1]calculations!L6</f>
        <v>109</v>
      </c>
      <c r="M5" s="51"/>
    </row>
    <row r="6" spans="1:13" s="43" customFormat="1" ht="30" customHeight="1">
      <c r="A6" s="38"/>
      <c r="B6" s="44">
        <v>1</v>
      </c>
      <c r="C6" s="45" t="s">
        <v>74</v>
      </c>
      <c r="D6" s="46" t="s">
        <v>75</v>
      </c>
      <c r="E6" s="46" t="s">
        <v>72</v>
      </c>
      <c r="F6" s="46">
        <v>3</v>
      </c>
      <c r="G6" s="46" t="s">
        <v>73</v>
      </c>
      <c r="H6" s="47">
        <v>1.99</v>
      </c>
      <c r="I6" s="48">
        <f>IFERROR(List6[[#This Row],[QTY]]*List6[[#This Row],[UNIT PRICE]],"")</f>
        <v>5.97</v>
      </c>
      <c r="J6" s="49" t="s">
        <v>76</v>
      </c>
      <c r="K6" s="40"/>
      <c r="L6" s="52"/>
      <c r="M6" s="42"/>
    </row>
    <row r="7" spans="1:13" s="43" customFormat="1" ht="30" customHeight="1">
      <c r="A7" s="38"/>
      <c r="B7" s="44"/>
      <c r="C7" s="45" t="s">
        <v>77</v>
      </c>
      <c r="D7" s="46" t="s">
        <v>71</v>
      </c>
      <c r="E7" s="46" t="s">
        <v>72</v>
      </c>
      <c r="F7" s="46">
        <v>1</v>
      </c>
      <c r="G7" s="46" t="s">
        <v>78</v>
      </c>
      <c r="H7" s="47">
        <v>3.99</v>
      </c>
      <c r="I7" s="48">
        <f>IFERROR(List6[[#This Row],[QTY]]*List6[[#This Row],[UNIT PRICE]],"")</f>
        <v>3.99</v>
      </c>
      <c r="J7" s="49"/>
      <c r="K7" s="40"/>
      <c r="L7" s="53" t="str">
        <f>[1]calculations!M7</f>
        <v>MEAT TOTAL</v>
      </c>
      <c r="M7" s="42"/>
    </row>
    <row r="8" spans="1:13" s="43" customFormat="1" ht="30" customHeight="1">
      <c r="A8" s="38"/>
      <c r="B8" s="44"/>
      <c r="C8" s="45" t="s">
        <v>79</v>
      </c>
      <c r="D8" s="46" t="s">
        <v>80</v>
      </c>
      <c r="E8" s="46" t="s">
        <v>72</v>
      </c>
      <c r="F8" s="46">
        <v>2</v>
      </c>
      <c r="G8" s="46" t="s">
        <v>81</v>
      </c>
      <c r="H8" s="47">
        <v>2.29</v>
      </c>
      <c r="I8" s="48">
        <f>IFERROR(List6[[#This Row],[QTY]]*List6[[#This Row],[UNIT PRICE]],"")</f>
        <v>4.58</v>
      </c>
      <c r="J8" s="49"/>
      <c r="K8" s="40"/>
      <c r="L8" s="54">
        <f>[1]calculations!L7</f>
        <v>80</v>
      </c>
      <c r="M8" s="42"/>
    </row>
    <row r="9" spans="1:13" s="43" customFormat="1" ht="30" customHeight="1">
      <c r="A9" s="38"/>
      <c r="B9" s="44"/>
      <c r="C9" s="45" t="s">
        <v>82</v>
      </c>
      <c r="D9" s="46" t="s">
        <v>80</v>
      </c>
      <c r="E9" s="46" t="s">
        <v>72</v>
      </c>
      <c r="F9" s="46">
        <v>4</v>
      </c>
      <c r="G9" s="46" t="s">
        <v>73</v>
      </c>
      <c r="H9" s="47">
        <v>3.49</v>
      </c>
      <c r="I9" s="48">
        <f>IFERROR(List6[[#This Row],[QTY]]*List6[[#This Row],[UNIT PRICE]],"")</f>
        <v>13.96</v>
      </c>
      <c r="J9" s="49"/>
      <c r="K9" s="40"/>
      <c r="L9" s="52"/>
      <c r="M9" s="42"/>
    </row>
    <row r="10" spans="1:13" s="43" customFormat="1" ht="30" customHeight="1">
      <c r="A10" s="38"/>
      <c r="B10" s="44"/>
      <c r="C10" s="45" t="s">
        <v>83</v>
      </c>
      <c r="D10" s="46" t="s">
        <v>80</v>
      </c>
      <c r="E10" s="46" t="s">
        <v>72</v>
      </c>
      <c r="F10" s="46">
        <v>2</v>
      </c>
      <c r="G10" s="46" t="s">
        <v>84</v>
      </c>
      <c r="H10" s="47">
        <v>1.5</v>
      </c>
      <c r="I10" s="48">
        <f>IFERROR(List6[[#This Row],[QTY]]*List6[[#This Row],[UNIT PRICE]],"")</f>
        <v>3</v>
      </c>
      <c r="J10" s="49"/>
      <c r="K10" s="40"/>
      <c r="L10" s="55" t="str">
        <f>[1]calculations!M8</f>
        <v>PRODUCE TOTAL</v>
      </c>
      <c r="M10" s="42"/>
    </row>
    <row r="11" spans="1:13" s="43" customFormat="1" ht="30" customHeight="1">
      <c r="A11" s="38"/>
      <c r="B11" s="44"/>
      <c r="C11" s="45" t="s">
        <v>85</v>
      </c>
      <c r="D11" s="46" t="s">
        <v>71</v>
      </c>
      <c r="E11" s="46" t="s">
        <v>72</v>
      </c>
      <c r="F11" s="46">
        <v>2</v>
      </c>
      <c r="G11" s="46" t="s">
        <v>78</v>
      </c>
      <c r="H11" s="47">
        <v>1.99</v>
      </c>
      <c r="I11" s="48">
        <f>IFERROR(List6[[#This Row],[QTY]]*List6[[#This Row],[UNIT PRICE]],"")</f>
        <v>3.98</v>
      </c>
      <c r="J11" s="49"/>
      <c r="K11" s="40"/>
      <c r="L11" s="56">
        <f>[1]calculations!L8</f>
        <v>45</v>
      </c>
      <c r="M11" s="42"/>
    </row>
    <row r="12" spans="1:13" s="43" customFormat="1" ht="30" customHeight="1">
      <c r="A12" s="38"/>
      <c r="B12" s="44"/>
      <c r="C12" s="45" t="s">
        <v>86</v>
      </c>
      <c r="D12" s="46" t="s">
        <v>80</v>
      </c>
      <c r="E12" s="46" t="s">
        <v>72</v>
      </c>
      <c r="F12" s="46">
        <v>1</v>
      </c>
      <c r="G12" s="46" t="s">
        <v>73</v>
      </c>
      <c r="H12" s="47">
        <v>2.29</v>
      </c>
      <c r="I12" s="48">
        <f>IFERROR(List6[[#This Row],[QTY]]*List6[[#This Row],[UNIT PRICE]],"")</f>
        <v>2.29</v>
      </c>
      <c r="J12" s="49"/>
      <c r="K12" s="40"/>
      <c r="L12" s="52"/>
      <c r="M12" s="42"/>
    </row>
    <row r="13" spans="1:13" s="43" customFormat="1" ht="30" customHeight="1">
      <c r="A13" s="38"/>
      <c r="B13" s="44"/>
      <c r="C13" s="45" t="s">
        <v>87</v>
      </c>
      <c r="D13" s="46" t="s">
        <v>71</v>
      </c>
      <c r="E13" s="46" t="s">
        <v>72</v>
      </c>
      <c r="F13" s="46">
        <v>0.5</v>
      </c>
      <c r="G13" s="46" t="s">
        <v>73</v>
      </c>
      <c r="H13" s="47">
        <v>2.25</v>
      </c>
      <c r="I13" s="48">
        <f>IFERROR(List6[[#This Row],[QTY]]*List6[[#This Row],[UNIT PRICE]],"")</f>
        <v>1.125</v>
      </c>
      <c r="J13" s="49" t="s">
        <v>88</v>
      </c>
      <c r="K13" s="40"/>
      <c r="L13" s="57" t="str">
        <f>[1]calculations!M9</f>
        <v>DAIRY TOTAL</v>
      </c>
      <c r="M13" s="42"/>
    </row>
    <row r="14" spans="1:13" s="43" customFormat="1" ht="30" customHeight="1">
      <c r="A14" s="38"/>
      <c r="B14" s="44"/>
      <c r="C14" s="45" t="s">
        <v>89</v>
      </c>
      <c r="D14" s="46" t="s">
        <v>90</v>
      </c>
      <c r="E14" s="46" t="s">
        <v>91</v>
      </c>
      <c r="F14" s="46">
        <v>2</v>
      </c>
      <c r="G14" s="46" t="s">
        <v>92</v>
      </c>
      <c r="H14" s="47">
        <v>3.99</v>
      </c>
      <c r="I14" s="48">
        <f>IFERROR(List6[[#This Row],[QTY]]*List6[[#This Row],[UNIT PRICE]],"")</f>
        <v>7.98</v>
      </c>
      <c r="J14" s="49"/>
      <c r="K14" s="40"/>
      <c r="L14" s="58">
        <f>[1]calculations!L9</f>
        <v>37</v>
      </c>
      <c r="M14" s="42"/>
    </row>
    <row r="15" spans="1:13" s="43" customFormat="1" ht="30" customHeight="1">
      <c r="A15" s="38"/>
      <c r="B15" s="44"/>
      <c r="C15" s="45" t="s">
        <v>93</v>
      </c>
      <c r="D15" s="46" t="s">
        <v>90</v>
      </c>
      <c r="E15" s="46" t="s">
        <v>91</v>
      </c>
      <c r="F15" s="46">
        <v>1</v>
      </c>
      <c r="G15" s="46" t="s">
        <v>73</v>
      </c>
      <c r="H15" s="47">
        <v>9.99</v>
      </c>
      <c r="I15" s="48">
        <f>IFERROR(List6[[#This Row],[QTY]]*List6[[#This Row],[UNIT PRICE]],"")</f>
        <v>9.99</v>
      </c>
      <c r="J15" s="49" t="s">
        <v>94</v>
      </c>
      <c r="K15" s="40"/>
      <c r="L15" s="52"/>
      <c r="M15" s="42"/>
    </row>
    <row r="16" spans="1:13" s="43" customFormat="1" ht="30" customHeight="1">
      <c r="A16" s="38"/>
      <c r="B16" s="44"/>
      <c r="C16" s="45" t="s">
        <v>95</v>
      </c>
      <c r="D16" s="46" t="s">
        <v>90</v>
      </c>
      <c r="E16" s="46" t="s">
        <v>91</v>
      </c>
      <c r="F16" s="46">
        <v>2</v>
      </c>
      <c r="G16" s="46" t="s">
        <v>96</v>
      </c>
      <c r="H16" s="47">
        <v>3.5</v>
      </c>
      <c r="I16" s="48">
        <f>IFERROR(List6[[#This Row],[QTY]]*List6[[#This Row],[UNIT PRICE]],"")</f>
        <v>7</v>
      </c>
      <c r="J16" s="49"/>
      <c r="K16" s="40"/>
      <c r="L16" s="59" t="str">
        <f>[1]calculations!M3</f>
        <v>OTHER TOTAL</v>
      </c>
      <c r="M16" s="42"/>
    </row>
    <row r="17" spans="1:13" s="43" customFormat="1" ht="30" customHeight="1">
      <c r="A17" s="38"/>
      <c r="B17" s="44"/>
      <c r="C17" s="45" t="s">
        <v>97</v>
      </c>
      <c r="D17" s="46" t="s">
        <v>90</v>
      </c>
      <c r="E17" s="46" t="s">
        <v>91</v>
      </c>
      <c r="F17" s="46">
        <v>1</v>
      </c>
      <c r="G17" s="46" t="s">
        <v>98</v>
      </c>
      <c r="H17" s="47">
        <v>3.89</v>
      </c>
      <c r="I17" s="48">
        <f>IFERROR(List6[[#This Row],[QTY]]*List6[[#This Row],[UNIT PRICE]],"")</f>
        <v>3.89</v>
      </c>
      <c r="J17" s="49"/>
      <c r="K17" s="40"/>
      <c r="L17" s="60">
        <f>[1]calculations!L3</f>
        <v>0</v>
      </c>
      <c r="M17" s="42"/>
    </row>
    <row r="18" spans="1:13" s="43" customFormat="1" ht="30" customHeight="1">
      <c r="A18" s="38"/>
      <c r="B18" s="44"/>
      <c r="C18" s="45" t="s">
        <v>99</v>
      </c>
      <c r="D18" s="46" t="s">
        <v>90</v>
      </c>
      <c r="E18" s="46" t="s">
        <v>91</v>
      </c>
      <c r="F18" s="46">
        <v>1</v>
      </c>
      <c r="G18" s="46" t="s">
        <v>100</v>
      </c>
      <c r="H18" s="47">
        <v>2.99</v>
      </c>
      <c r="I18" s="48">
        <f>IFERROR(List6[[#This Row],[QTY]]*List6[[#This Row],[UNIT PRICE]],"")</f>
        <v>2.99</v>
      </c>
      <c r="J18" s="49"/>
      <c r="K18" s="40"/>
      <c r="L18" s="52"/>
      <c r="M18" s="42"/>
    </row>
    <row r="19" spans="1:13" s="43" customFormat="1" ht="30" customHeight="1">
      <c r="A19" s="38"/>
      <c r="B19" s="44"/>
      <c r="C19" s="45" t="s">
        <v>101</v>
      </c>
      <c r="D19" s="46" t="s">
        <v>71</v>
      </c>
      <c r="E19" s="46" t="s">
        <v>91</v>
      </c>
      <c r="F19" s="46">
        <v>1</v>
      </c>
      <c r="G19" s="46" t="s">
        <v>98</v>
      </c>
      <c r="H19" s="47">
        <v>4.99</v>
      </c>
      <c r="I19" s="48">
        <f>IFERROR(List6[[#This Row],[QTY]]*List6[[#This Row],[UNIT PRICE]],"")</f>
        <v>4.99</v>
      </c>
      <c r="J19" s="49" t="s">
        <v>102</v>
      </c>
      <c r="K19" s="40"/>
      <c r="L19" s="61" t="str">
        <f>[1]calculations!M4</f>
        <v>GROCERY TOTAL</v>
      </c>
      <c r="M19" s="51"/>
    </row>
    <row r="20" spans="1:13" s="43" customFormat="1" ht="30" customHeight="1">
      <c r="A20" s="38"/>
      <c r="B20" s="44"/>
      <c r="C20" s="45" t="s">
        <v>103</v>
      </c>
      <c r="D20" s="46" t="s">
        <v>80</v>
      </c>
      <c r="E20" s="46" t="s">
        <v>104</v>
      </c>
      <c r="F20" s="46">
        <v>10</v>
      </c>
      <c r="G20" s="46" t="s">
        <v>73</v>
      </c>
      <c r="H20" s="47">
        <v>7.99</v>
      </c>
      <c r="I20" s="48">
        <f>IFERROR(List6[[#This Row],[QTY]]*List6[[#This Row],[UNIT PRICE]],"")</f>
        <v>79.900000000000006</v>
      </c>
      <c r="J20" s="49" t="s">
        <v>105</v>
      </c>
      <c r="K20" s="40"/>
      <c r="L20" s="62">
        <f>GroceryTotal</f>
        <v>271</v>
      </c>
      <c r="M20" s="51"/>
    </row>
    <row r="21" spans="1:13" s="43" customFormat="1" ht="30" customHeight="1">
      <c r="A21" s="38"/>
      <c r="B21" s="44"/>
      <c r="C21" s="45" t="s">
        <v>106</v>
      </c>
      <c r="D21" s="46" t="s">
        <v>107</v>
      </c>
      <c r="E21" s="46" t="s">
        <v>108</v>
      </c>
      <c r="F21" s="46">
        <v>6</v>
      </c>
      <c r="G21" s="46" t="s">
        <v>73</v>
      </c>
      <c r="H21" s="47">
        <v>8.99</v>
      </c>
      <c r="I21" s="48">
        <f>IFERROR(List6[[#This Row],[QTY]]*List6[[#This Row],[UNIT PRICE]],"")</f>
        <v>53.94</v>
      </c>
      <c r="J21" s="49"/>
      <c r="K21" s="40"/>
      <c r="L21" s="63"/>
      <c r="M21" s="64"/>
    </row>
    <row r="22" spans="1:13" s="43" customFormat="1" ht="30" customHeight="1">
      <c r="A22" s="38"/>
      <c r="B22" s="44"/>
      <c r="C22" s="45" t="s">
        <v>109</v>
      </c>
      <c r="D22" s="46" t="s">
        <v>107</v>
      </c>
      <c r="E22" s="46" t="s">
        <v>108</v>
      </c>
      <c r="F22" s="46">
        <v>5</v>
      </c>
      <c r="G22" s="46" t="s">
        <v>73</v>
      </c>
      <c r="H22" s="47">
        <v>10.99</v>
      </c>
      <c r="I22" s="48">
        <f>IFERROR(List6[[#This Row],[QTY]]*List6[[#This Row],[UNIT PRICE]],"")</f>
        <v>54.95</v>
      </c>
      <c r="J22" s="49"/>
      <c r="K22" s="40"/>
      <c r="L22" s="63"/>
      <c r="M22" s="64"/>
    </row>
    <row r="23" spans="1:13" s="43" customFormat="1" ht="30" customHeight="1">
      <c r="A23" s="3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63"/>
      <c r="M23" s="64"/>
    </row>
    <row r="24" spans="1:13" s="43" customFormat="1" ht="30" customHeight="1">
      <c r="A24" s="3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63"/>
      <c r="M24" s="64"/>
    </row>
    <row r="25" spans="1:13" s="43" customFormat="1" ht="30" customHeight="1">
      <c r="A25" s="38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63"/>
      <c r="M25" s="64"/>
    </row>
    <row r="26" spans="1:13" s="43" customFormat="1" ht="30" customHeight="1">
      <c r="A26" s="38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63"/>
      <c r="M26" s="64"/>
    </row>
    <row r="27" spans="1:13" s="43" customFormat="1" ht="30" customHeight="1">
      <c r="A27" s="38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63"/>
      <c r="M27" s="64"/>
    </row>
    <row r="28" spans="1:13" s="43" customFormat="1" ht="30" customHeight="1">
      <c r="A28" s="38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63"/>
      <c r="M28" s="64"/>
    </row>
    <row r="29" spans="1:13" s="43" customFormat="1" ht="30" customHeight="1">
      <c r="A29" s="38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63"/>
      <c r="M29" s="64"/>
    </row>
    <row r="30" spans="1:13" s="43" customFormat="1" ht="30" customHeight="1">
      <c r="A30" s="38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63"/>
      <c r="M30" s="64"/>
    </row>
  </sheetData>
  <dataValidations count="17">
    <dataValidation allowBlank="1" showInputMessage="1" showErrorMessage="1" prompt="Total for all grocery items is calculated in the cell below" sqref="L19" xr:uid="{E0D547AD-06AF-4F6D-A64D-B330F52B3D13}"/>
    <dataValidation allowBlank="1" showInputMessage="1" showErrorMessage="1" prompt="Price subtotal for other items not included in the first four categories is automatically summed up in the cell below" sqref="L16" xr:uid="{D87E94C6-D4AC-42C2-AF17-E765E43C8AB0}"/>
    <dataValidation allowBlank="1" showInputMessage="1" showErrorMessage="1" prompt="Category with the fourth highest price subtotal automatically appears here. Price subtotal is in below cell." sqref="L13" xr:uid="{82C859DE-2C38-46EA-88F6-071730C5A99B}"/>
    <dataValidation allowBlank="1" showInputMessage="1" showErrorMessage="1" prompt="Category with the third highest price subtotal automatically appears here. Price subtotal is in below cell." sqref="L10" xr:uid="{66A2FC8D-26E5-4FAB-9DAB-0CA22069C763}"/>
    <dataValidation allowBlank="1" showInputMessage="1" showErrorMessage="1" prompt="Category with the second highest price subtotal automatically appears here. Price subtotal is in below cell." sqref="L7" xr:uid="{EA9D565F-A630-41FF-87B4-0B2477C99294}"/>
    <dataValidation allowBlank="1" showInputMessage="1" showErrorMessage="1" prompt="Category with the highest price subtotal automatically appears here. Price subtotal is in below cell." sqref="L4" xr:uid="{E5A192C6-CBC5-4E8C-82EF-C070905CE229}"/>
    <dataValidation allowBlank="1" showInputMessage="1" showErrorMessage="1" prompt="Use this worksheet to create a grocery list. Enter grocery details in the table starting in cell B4. Category totals are automatically updated in column L._x000a__x000a_To insert or delete rows, please use the Insert Table Rows or Delete Table Rows function." sqref="A1" xr:uid="{87F8A332-4E51-4CD2-9316-EFBA78CC9009}"/>
    <dataValidation allowBlank="1" showInputMessage="1" showErrorMessage="1" prompt="Title of this worksheet is in this cell" sqref="B3" xr:uid="{85051924-1167-4921-A688-EA4D4FA8E04A}"/>
    <dataValidation allowBlank="1" showInputMessage="1" showErrorMessage="1" prompt="Enter Comment in this column under this heading" sqref="J4" xr:uid="{F2910FBE-78B5-488A-B4B2-0C4995E2BFD3}"/>
    <dataValidation allowBlank="1" showInputMessage="1" showErrorMessage="1" prompt="Total is automatically calculated in this column under this heading" sqref="I4" xr:uid="{2D17AA05-95A9-4CB3-BE23-877027E2FC91}"/>
    <dataValidation allowBlank="1" showInputMessage="1" showErrorMessage="1" prompt="Enter Unit Price in this column under this heading" sqref="H4" xr:uid="{38F274D0-159A-43C0-A5D7-A16502E5882D}"/>
    <dataValidation allowBlank="1" showInputMessage="1" showErrorMessage="1" prompt="Enter Unit in this column under this heading" sqref="G4" xr:uid="{5DA1FA89-4A34-4899-8633-6228A00A916A}"/>
    <dataValidation allowBlank="1" showInputMessage="1" showErrorMessage="1" prompt="Enter Quantity in this column under this heading" sqref="F4" xr:uid="{CB996F0B-FB18-48D8-802E-511A0F282228}"/>
    <dataValidation allowBlank="1" showInputMessage="1" showErrorMessage="1" prompt="Enter Category in this column under this heading" sqref="E4" xr:uid="{475F0326-1179-467D-ABFA-46E61BC66ACA}"/>
    <dataValidation allowBlank="1" showInputMessage="1" showErrorMessage="1" prompt="Enter Store type in this column under this heading" sqref="D4" xr:uid="{3F0E2649-DF49-4994-BC0E-394BF94D1EE2}"/>
    <dataValidation allowBlank="1" showInputMessage="1" showErrorMessage="1" prompt="Enter Item in this column under this heading" sqref="C4" xr:uid="{A885F5F3-3BDE-40D8-AE34-88B99C7E33EF}"/>
    <dataValidation allowBlank="1" showInputMessage="1" showErrorMessage="1" prompt="Enter a number greater than 0 in this column under this heading to mark item as bought" sqref="B4" xr:uid="{133851FF-A75F-4636-B192-160817F21CC3}"/>
  </dataValidations>
  <printOptions horizontalCentered="1"/>
  <pageMargins left="0.3" right="0.3" top="0.5" bottom="0.5" header="0.3" footer="0.3"/>
  <pageSetup scale="41" fitToHeight="0" orientation="portrait" r:id="rId1"/>
  <headerFooter differentFirst="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19B7E30-F9A2-432B-A25B-AEABBE64C349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B5:B22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FA48-0D65-42F5-AB50-27822E578145}">
  <sheetPr>
    <pageSetUpPr fitToPage="1"/>
  </sheetPr>
  <dimension ref="A1:Q39"/>
  <sheetViews>
    <sheetView showGridLines="0" tabSelected="1" topLeftCell="A12" zoomScaleNormal="100" workbookViewId="0">
      <selection activeCell="Q43" sqref="Q43"/>
    </sheetView>
  </sheetViews>
  <sheetFormatPr defaultColWidth="16.6640625" defaultRowHeight="24" customHeight="1"/>
  <cols>
    <col min="1" max="1" width="2.77734375" style="107" customWidth="1"/>
    <col min="2" max="2" width="28.6640625" style="106" customWidth="1"/>
    <col min="3" max="15" width="14.33203125" style="105" customWidth="1"/>
    <col min="16" max="16" width="2.77734375" style="104" customWidth="1"/>
    <col min="17" max="16384" width="16.6640625" style="104"/>
  </cols>
  <sheetData>
    <row r="1" spans="1:16" ht="60" customHeight="1">
      <c r="A1" s="163"/>
      <c r="B1" s="162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09"/>
      <c r="P1" s="160" t="s">
        <v>59</v>
      </c>
    </row>
    <row r="2" spans="1:16" s="150" customFormat="1" ht="28.5" customHeight="1">
      <c r="A2" s="155"/>
      <c r="B2" s="181">
        <v>46327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2"/>
      <c r="P2" s="151"/>
    </row>
    <row r="3" spans="1:16" s="150" customFormat="1" ht="55.05" customHeight="1" thickBot="1">
      <c r="A3" s="159"/>
      <c r="B3" s="158" t="s">
        <v>196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6"/>
      <c r="P3" s="151"/>
    </row>
    <row r="4" spans="1:16" s="150" customFormat="1" ht="45" customHeight="1" thickTop="1">
      <c r="A4" s="155"/>
      <c r="B4" s="154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2"/>
      <c r="P4" s="151"/>
    </row>
    <row r="5" spans="1:16" ht="30" customHeight="1">
      <c r="A5" s="112"/>
      <c r="B5" s="149" t="s">
        <v>158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8"/>
    </row>
    <row r="6" spans="1:16" s="141" customFormat="1" ht="36" customHeight="1">
      <c r="A6" s="142"/>
      <c r="B6" s="148" t="s">
        <v>197</v>
      </c>
      <c r="C6" s="147" t="s">
        <v>149</v>
      </c>
      <c r="D6" s="146" t="s">
        <v>148</v>
      </c>
      <c r="E6" s="145" t="s">
        <v>157</v>
      </c>
      <c r="F6" s="145" t="s">
        <v>198</v>
      </c>
      <c r="G6" s="145" t="s">
        <v>156</v>
      </c>
      <c r="H6" s="145" t="s">
        <v>155</v>
      </c>
      <c r="I6" s="145" t="s">
        <v>154</v>
      </c>
      <c r="J6" s="145" t="s">
        <v>153</v>
      </c>
      <c r="K6" s="145" t="s">
        <v>152</v>
      </c>
      <c r="L6" s="145" t="s">
        <v>151</v>
      </c>
      <c r="M6" s="145" t="s">
        <v>112</v>
      </c>
      <c r="N6" s="144" t="s">
        <v>150</v>
      </c>
      <c r="O6" s="143" t="s">
        <v>147</v>
      </c>
      <c r="P6" s="142"/>
    </row>
    <row r="7" spans="1:16" s="126" customFormat="1" ht="24" customHeight="1">
      <c r="A7" s="133"/>
      <c r="B7" s="140" t="s">
        <v>199</v>
      </c>
      <c r="C7" s="139" t="e">
        <f ca="1">SUM(INDIRECT("Var_EmployeeCosts["&amp;C$6&amp;"]"))</f>
        <v>#REF!</v>
      </c>
      <c r="D7" s="139" t="e">
        <f t="shared" ref="D7:O7" ca="1" si="0">SUM(INDIRECT("Var_EmployeeCosts["&amp;D$6&amp;"]"))</f>
        <v>#REF!</v>
      </c>
      <c r="E7" s="139">
        <f t="shared" ca="1" si="0"/>
        <v>1529</v>
      </c>
      <c r="F7" s="139" t="e">
        <f t="shared" ca="1" si="0"/>
        <v>#REF!</v>
      </c>
      <c r="G7" s="139" t="e">
        <f t="shared" ca="1" si="0"/>
        <v>#REF!</v>
      </c>
      <c r="H7" s="139" t="e">
        <f t="shared" ca="1" si="0"/>
        <v>#REF!</v>
      </c>
      <c r="I7" s="139" t="e">
        <f t="shared" ca="1" si="0"/>
        <v>#REF!</v>
      </c>
      <c r="J7" s="139" t="e">
        <f t="shared" ca="1" si="0"/>
        <v>#REF!</v>
      </c>
      <c r="K7" s="139" t="e">
        <f t="shared" ca="1" si="0"/>
        <v>#REF!</v>
      </c>
      <c r="L7" s="139" t="e">
        <f t="shared" ca="1" si="0"/>
        <v>#REF!</v>
      </c>
      <c r="M7" s="139" t="e">
        <f t="shared" ca="1" si="0"/>
        <v>#REF!</v>
      </c>
      <c r="N7" s="139" t="e">
        <f t="shared" ca="1" si="0"/>
        <v>#REF!</v>
      </c>
      <c r="O7" s="139" t="e">
        <f t="shared" ca="1" si="0"/>
        <v>#REF!</v>
      </c>
      <c r="P7" s="127"/>
    </row>
    <row r="8" spans="1:16" ht="24" hidden="1" customHeight="1">
      <c r="A8" s="112"/>
      <c r="B8" s="125" t="s">
        <v>146</v>
      </c>
      <c r="C8" s="105" t="s">
        <v>127</v>
      </c>
      <c r="D8" s="105" t="s">
        <v>126</v>
      </c>
      <c r="E8" s="105" t="s">
        <v>125</v>
      </c>
      <c r="F8" s="105" t="s">
        <v>124</v>
      </c>
      <c r="G8" s="105" t="s">
        <v>123</v>
      </c>
      <c r="H8" s="105" t="s">
        <v>122</v>
      </c>
      <c r="I8" s="105" t="s">
        <v>121</v>
      </c>
      <c r="J8" s="105" t="s">
        <v>120</v>
      </c>
      <c r="K8" s="105" t="s">
        <v>119</v>
      </c>
      <c r="L8" s="105" t="s">
        <v>118</v>
      </c>
      <c r="M8" s="105" t="s">
        <v>117</v>
      </c>
      <c r="N8" s="105" t="s">
        <v>116</v>
      </c>
      <c r="O8" s="105" t="s">
        <v>68</v>
      </c>
      <c r="P8" s="108"/>
    </row>
    <row r="9" spans="1:16" ht="24" customHeight="1">
      <c r="A9" s="112"/>
      <c r="B9" s="183" t="s">
        <v>200</v>
      </c>
      <c r="C9" s="182">
        <v>1195</v>
      </c>
      <c r="D9" s="182" t="e">
        <f ca="1">IF(INDIRECT("Actual_EmployeeCosts["&amp;D$6&amp;"]")="","",INDIRECT("Plan_EmployeeCosts["&amp;D$6&amp;"]")-INDIRECT("Actual_EmployeeCosts["&amp;D$6&amp;"]"))</f>
        <v>#REF!</v>
      </c>
      <c r="E9" s="182" t="e">
        <f ca="1">IF(INDIRECT("Actual_EmployeeCosts["&amp;E$6&amp;"]")="","",INDIRECT("Plan_EmployeeCosts["&amp;E$6&amp;"]")-INDIRECT("Actual_EmployeeCosts["&amp;E$6&amp;"]"))</f>
        <v>#REF!</v>
      </c>
      <c r="F9" s="182" t="e">
        <f ca="1">IF(INDIRECT("Actual_EmployeeCosts["&amp;F$6&amp;"]")="","",INDIRECT("Plan_EmployeeCosts["&amp;F$6&amp;"]")-INDIRECT("Actual_EmployeeCosts["&amp;F$6&amp;"]"))</f>
        <v>#REF!</v>
      </c>
      <c r="G9" s="182" t="e">
        <f ca="1">IF(INDIRECT("Actual_EmployeeCosts["&amp;G$6&amp;"]")="","",INDIRECT("Plan_EmployeeCosts["&amp;G$6&amp;"]")-INDIRECT("Actual_EmployeeCosts["&amp;G$6&amp;"]"))</f>
        <v>#REF!</v>
      </c>
      <c r="H9" s="182" t="e">
        <f ca="1">IF(INDIRECT("Actual_EmployeeCosts["&amp;H$6&amp;"]")="","",INDIRECT("Plan_EmployeeCosts["&amp;H$6&amp;"]")-INDIRECT("Actual_EmployeeCosts["&amp;H$6&amp;"]"))</f>
        <v>#REF!</v>
      </c>
      <c r="I9" s="182" t="e">
        <f ca="1">IF(INDIRECT("Actual_EmployeeCosts["&amp;I$6&amp;"]")="","",INDIRECT("Plan_EmployeeCosts["&amp;I$6&amp;"]")-INDIRECT("Actual_EmployeeCosts["&amp;I$6&amp;"]"))</f>
        <v>#REF!</v>
      </c>
      <c r="J9" s="182" t="e">
        <f ca="1">IF(INDIRECT("Actual_EmployeeCosts["&amp;J$6&amp;"]")="","",INDIRECT("Plan_EmployeeCosts["&amp;J$6&amp;"]")-INDIRECT("Actual_EmployeeCosts["&amp;J$6&amp;"]"))</f>
        <v>#REF!</v>
      </c>
      <c r="K9" s="182" t="e">
        <f ca="1">IF(INDIRECT("Actual_EmployeeCosts["&amp;K$6&amp;"]")="","",INDIRECT("Plan_EmployeeCosts["&amp;K$6&amp;"]")-INDIRECT("Actual_EmployeeCosts["&amp;K$6&amp;"]"))</f>
        <v>#REF!</v>
      </c>
      <c r="L9" s="182" t="e">
        <f ca="1">IF(INDIRECT("Actual_EmployeeCosts["&amp;L$6&amp;"]")="","",INDIRECT("Plan_EmployeeCosts["&amp;L$6&amp;"]")-INDIRECT("Actual_EmployeeCosts["&amp;L$6&amp;"]"))</f>
        <v>#REF!</v>
      </c>
      <c r="M9" s="182" t="e">
        <f ca="1">IF(INDIRECT("Actual_EmployeeCosts["&amp;M$6&amp;"]")="","",INDIRECT("Plan_EmployeeCosts["&amp;M$6&amp;"]")-INDIRECT("Actual_EmployeeCosts["&amp;M$6&amp;"]"))</f>
        <v>#REF!</v>
      </c>
      <c r="N9" s="182" t="e">
        <f ca="1">IF(INDIRECT("Actual_EmployeeCosts["&amp;N$6&amp;"]")="","",INDIRECT("Plan_EmployeeCosts["&amp;N$6&amp;"]")-INDIRECT("Actual_EmployeeCosts["&amp;N$6&amp;"]"))</f>
        <v>#REF!</v>
      </c>
      <c r="O9" s="182" t="e">
        <f ca="1">SUM(Var_EmployeeCosts[[#This Row],[JANUARY]:[DECEMBER]])</f>
        <v>#REF!</v>
      </c>
      <c r="P9" s="108"/>
    </row>
    <row r="10" spans="1:16" ht="24" customHeight="1">
      <c r="A10" s="112"/>
      <c r="B10" s="106" t="s">
        <v>201</v>
      </c>
      <c r="C10" s="105">
        <v>234</v>
      </c>
      <c r="D10" s="105" t="e">
        <f ca="1">IF(INDIRECT("Actual_EmployeeCosts["&amp;D$6&amp;"]")="","",INDIRECT("Plan_EmployeeCosts["&amp;D$6&amp;"]")-INDIRECT("Actual_EmployeeCosts["&amp;D$6&amp;"]"))</f>
        <v>#REF!</v>
      </c>
      <c r="E10" s="105" t="e">
        <f ca="1">IF(INDIRECT("Actual_EmployeeCosts["&amp;E$6&amp;"]")="","",INDIRECT("Plan_EmployeeCosts["&amp;E$6&amp;"]")-INDIRECT("Actual_EmployeeCosts["&amp;E$6&amp;"]"))</f>
        <v>#REF!</v>
      </c>
      <c r="F10" s="105" t="e">
        <f ca="1">IF(INDIRECT("Actual_EmployeeCosts["&amp;F$6&amp;"]")="","",INDIRECT("Plan_EmployeeCosts["&amp;F$6&amp;"]")-INDIRECT("Actual_EmployeeCosts["&amp;F$6&amp;"]"))</f>
        <v>#REF!</v>
      </c>
      <c r="G10" s="105" t="e">
        <f ca="1">IF(INDIRECT("Actual_EmployeeCosts["&amp;G$6&amp;"]")="","",INDIRECT("Plan_EmployeeCosts["&amp;G$6&amp;"]")-INDIRECT("Actual_EmployeeCosts["&amp;G$6&amp;"]"))</f>
        <v>#REF!</v>
      </c>
      <c r="H10" s="105" t="e">
        <f ca="1">IF(INDIRECT("Actual_EmployeeCosts["&amp;H$6&amp;"]")="","",INDIRECT("Plan_EmployeeCosts["&amp;H$6&amp;"]")-INDIRECT("Actual_EmployeeCosts["&amp;H$6&amp;"]"))</f>
        <v>#REF!</v>
      </c>
      <c r="I10" s="105" t="e">
        <f ca="1">IF(INDIRECT("Actual_EmployeeCosts["&amp;I$6&amp;"]")="","",INDIRECT("Plan_EmployeeCosts["&amp;I$6&amp;"]")-INDIRECT("Actual_EmployeeCosts["&amp;I$6&amp;"]"))</f>
        <v>#REF!</v>
      </c>
      <c r="J10" s="105" t="e">
        <f ca="1">IF(INDIRECT("Actual_EmployeeCosts["&amp;J$6&amp;"]")="","",INDIRECT("Plan_EmployeeCosts["&amp;J$6&amp;"]")-INDIRECT("Actual_EmployeeCosts["&amp;J$6&amp;"]"))</f>
        <v>#REF!</v>
      </c>
      <c r="K10" s="105" t="e">
        <f ca="1">IF(INDIRECT("Actual_EmployeeCosts["&amp;K$6&amp;"]")="","",INDIRECT("Plan_EmployeeCosts["&amp;K$6&amp;"]")-INDIRECT("Actual_EmployeeCosts["&amp;K$6&amp;"]"))</f>
        <v>#REF!</v>
      </c>
      <c r="L10" s="105" t="e">
        <f ca="1">IF(INDIRECT("Actual_EmployeeCosts["&amp;L$6&amp;"]")="","",INDIRECT("Plan_EmployeeCosts["&amp;L$6&amp;"]")-INDIRECT("Actual_EmployeeCosts["&amp;L$6&amp;"]"))</f>
        <v>#REF!</v>
      </c>
      <c r="M10" s="105" t="e">
        <f ca="1">IF(INDIRECT("Actual_EmployeeCosts["&amp;M$6&amp;"]")="","",INDIRECT("Plan_EmployeeCosts["&amp;M$6&amp;"]")-INDIRECT("Actual_EmployeeCosts["&amp;M$6&amp;"]"))</f>
        <v>#REF!</v>
      </c>
      <c r="N10" s="105" t="e">
        <f ca="1">IF(INDIRECT("Actual_EmployeeCosts["&amp;N$6&amp;"]")="","",INDIRECT("Plan_EmployeeCosts["&amp;N$6&amp;"]")-INDIRECT("Actual_EmployeeCosts["&amp;N$6&amp;"]"))</f>
        <v>#REF!</v>
      </c>
      <c r="O10" s="105" t="e">
        <f ca="1">SUM(Var_EmployeeCosts[[#This Row],[JANUARY]:[DECEMBER]])</f>
        <v>#REF!</v>
      </c>
      <c r="P10" s="108"/>
    </row>
    <row r="11" spans="1:16" ht="24" customHeight="1">
      <c r="A11" s="112"/>
      <c r="B11" s="106" t="s">
        <v>202</v>
      </c>
      <c r="C11" s="105">
        <v>100</v>
      </c>
      <c r="D11" s="105" t="e">
        <f ca="1">IF(INDIRECT("Actual_EmployeeCosts["&amp;D$6&amp;"]")="","",INDIRECT("Plan_EmployeeCosts["&amp;D$6&amp;"]")-INDIRECT("Actual_EmployeeCosts["&amp;D$6&amp;"]"))</f>
        <v>#REF!</v>
      </c>
      <c r="E11" s="105" t="e">
        <f ca="1">IF(INDIRECT("Actual_EmployeeCosts["&amp;E$6&amp;"]")="","",INDIRECT("Plan_EmployeeCosts["&amp;E$6&amp;"]")-INDIRECT("Actual_EmployeeCosts["&amp;E$6&amp;"]"))</f>
        <v>#REF!</v>
      </c>
      <c r="F11" s="105" t="e">
        <f ca="1">IF(INDIRECT("Actual_EmployeeCosts["&amp;F$6&amp;"]")="","",INDIRECT("Plan_EmployeeCosts["&amp;F$6&amp;"]")-INDIRECT("Actual_EmployeeCosts["&amp;F$6&amp;"]"))</f>
        <v>#REF!</v>
      </c>
      <c r="G11" s="105" t="e">
        <f ca="1">IF(INDIRECT("Actual_EmployeeCosts["&amp;G$6&amp;"]")="","",INDIRECT("Plan_EmployeeCosts["&amp;G$6&amp;"]")-INDIRECT("Actual_EmployeeCosts["&amp;G$6&amp;"]"))</f>
        <v>#REF!</v>
      </c>
      <c r="H11" s="105" t="e">
        <f ca="1">IF(INDIRECT("Actual_EmployeeCosts["&amp;H$6&amp;"]")="","",INDIRECT("Plan_EmployeeCosts["&amp;H$6&amp;"]")-INDIRECT("Actual_EmployeeCosts["&amp;H$6&amp;"]"))</f>
        <v>#REF!</v>
      </c>
      <c r="I11" s="105" t="e">
        <f ca="1">IF(INDIRECT("Actual_EmployeeCosts["&amp;I$6&amp;"]")="","",INDIRECT("Plan_EmployeeCosts["&amp;I$6&amp;"]")-INDIRECT("Actual_EmployeeCosts["&amp;I$6&amp;"]"))</f>
        <v>#REF!</v>
      </c>
      <c r="J11" s="105" t="e">
        <f ca="1">IF(INDIRECT("Actual_EmployeeCosts["&amp;J$6&amp;"]")="","",INDIRECT("Plan_EmployeeCosts["&amp;J$6&amp;"]")-INDIRECT("Actual_EmployeeCosts["&amp;J$6&amp;"]"))</f>
        <v>#REF!</v>
      </c>
      <c r="K11" s="105" t="e">
        <f ca="1">IF(INDIRECT("Actual_EmployeeCosts["&amp;K$6&amp;"]")="","",INDIRECT("Plan_EmployeeCosts["&amp;K$6&amp;"]")-INDIRECT("Actual_EmployeeCosts["&amp;K$6&amp;"]"))</f>
        <v>#REF!</v>
      </c>
      <c r="L11" s="105" t="e">
        <f ca="1">IF(INDIRECT("Actual_EmployeeCosts["&amp;L$6&amp;"]")="","",INDIRECT("Plan_EmployeeCosts["&amp;L$6&amp;"]")-INDIRECT("Actual_EmployeeCosts["&amp;L$6&amp;"]"))</f>
        <v>#REF!</v>
      </c>
      <c r="M11" s="105" t="e">
        <f ca="1">IF(INDIRECT("Actual_EmployeeCosts["&amp;M$6&amp;"]")="","",INDIRECT("Plan_EmployeeCosts["&amp;M$6&amp;"]")-INDIRECT("Actual_EmployeeCosts["&amp;M$6&amp;"]"))</f>
        <v>#REF!</v>
      </c>
      <c r="N11" s="105" t="e">
        <f ca="1">IF(INDIRECT("Actual_EmployeeCosts["&amp;N$6&amp;"]")="","",INDIRECT("Plan_EmployeeCosts["&amp;N$6&amp;"]")-INDIRECT("Actual_EmployeeCosts["&amp;N$6&amp;"]"))</f>
        <v>#REF!</v>
      </c>
      <c r="O11" s="105" t="e">
        <f ca="1">SUM(Var_EmployeeCosts[[#This Row],[JANUARY]:[DECEMBER]])</f>
        <v>#REF!</v>
      </c>
      <c r="P11" s="108"/>
    </row>
    <row r="12" spans="1:16" s="126" customFormat="1" ht="24" customHeight="1">
      <c r="A12" s="133"/>
      <c r="B12" s="111"/>
      <c r="C12" s="138"/>
      <c r="D12" s="110"/>
      <c r="E12" s="120"/>
      <c r="F12" s="120"/>
      <c r="G12" s="120"/>
      <c r="H12" s="120"/>
      <c r="I12" s="120"/>
      <c r="J12" s="120"/>
      <c r="K12" s="120"/>
      <c r="L12" s="120"/>
      <c r="M12" s="120"/>
      <c r="N12" s="109"/>
      <c r="O12" s="120"/>
      <c r="P12" s="127"/>
    </row>
    <row r="13" spans="1:16" s="126" customFormat="1" ht="24" customHeight="1">
      <c r="A13" s="133"/>
      <c r="B13" s="132" t="s">
        <v>145</v>
      </c>
      <c r="C13" s="137" t="e">
        <f t="shared" ref="C13:O13" ca="1" si="1">SUM(INDIRECT("Var_OfficeCosts["&amp;C$6&amp;"]"))</f>
        <v>#REF!</v>
      </c>
      <c r="D13" s="131" t="e">
        <f t="shared" ca="1" si="1"/>
        <v>#REF!</v>
      </c>
      <c r="E13" s="128" t="e">
        <f t="shared" ca="1" si="1"/>
        <v>#REF!</v>
      </c>
      <c r="F13" s="128" t="e">
        <f t="shared" ca="1" si="1"/>
        <v>#REF!</v>
      </c>
      <c r="G13" s="128" t="e">
        <f t="shared" ca="1" si="1"/>
        <v>#REF!</v>
      </c>
      <c r="H13" s="128" t="e">
        <f t="shared" ca="1" si="1"/>
        <v>#REF!</v>
      </c>
      <c r="I13" s="128" t="e">
        <f t="shared" ca="1" si="1"/>
        <v>#REF!</v>
      </c>
      <c r="J13" s="128" t="e">
        <f t="shared" ca="1" si="1"/>
        <v>#REF!</v>
      </c>
      <c r="K13" s="128" t="e">
        <f t="shared" ca="1" si="1"/>
        <v>#REF!</v>
      </c>
      <c r="L13" s="128" t="e">
        <f t="shared" ca="1" si="1"/>
        <v>#REF!</v>
      </c>
      <c r="M13" s="128" t="e">
        <f t="shared" ca="1" si="1"/>
        <v>#REF!</v>
      </c>
      <c r="N13" s="129" t="e">
        <f t="shared" ca="1" si="1"/>
        <v>#REF!</v>
      </c>
      <c r="O13" s="128" t="e">
        <f t="shared" ca="1" si="1"/>
        <v>#REF!</v>
      </c>
      <c r="P13" s="127"/>
    </row>
    <row r="14" spans="1:16" ht="24" hidden="1" customHeight="1">
      <c r="A14" s="112"/>
      <c r="B14" s="125" t="s">
        <v>145</v>
      </c>
      <c r="C14" s="136" t="s">
        <v>127</v>
      </c>
      <c r="D14" s="135" t="s">
        <v>126</v>
      </c>
      <c r="E14" s="122" t="s">
        <v>125</v>
      </c>
      <c r="F14" s="122" t="s">
        <v>124</v>
      </c>
      <c r="G14" s="122" t="s">
        <v>123</v>
      </c>
      <c r="H14" s="122" t="s">
        <v>122</v>
      </c>
      <c r="I14" s="122" t="s">
        <v>121</v>
      </c>
      <c r="J14" s="122" t="s">
        <v>120</v>
      </c>
      <c r="K14" s="122" t="s">
        <v>119</v>
      </c>
      <c r="L14" s="122" t="s">
        <v>118</v>
      </c>
      <c r="M14" s="122" t="s">
        <v>117</v>
      </c>
      <c r="N14" s="105" t="s">
        <v>116</v>
      </c>
      <c r="O14" s="122" t="s">
        <v>68</v>
      </c>
      <c r="P14" s="108"/>
    </row>
    <row r="15" spans="1:16" ht="24" customHeight="1">
      <c r="A15" s="112"/>
      <c r="B15" s="106" t="s">
        <v>144</v>
      </c>
      <c r="C15" s="124" t="e">
        <f t="shared" ref="C15:N22" ca="1" si="2">IF(INDIRECT("Actual_OfficeCosts["&amp;C$6&amp;"]")="","",INDIRECT("Plan_OfficeCosts["&amp;C$6&amp;"]")-INDIRECT("Actual_OfficeCosts["&amp;C$6&amp;"]"))</f>
        <v>#REF!</v>
      </c>
      <c r="D15" s="123" t="e">
        <f t="shared" ca="1" si="2"/>
        <v>#REF!</v>
      </c>
      <c r="E15" s="122" t="e">
        <f t="shared" ca="1" si="2"/>
        <v>#REF!</v>
      </c>
      <c r="F15" s="122" t="e">
        <f t="shared" ca="1" si="2"/>
        <v>#REF!</v>
      </c>
      <c r="G15" s="122" t="e">
        <f t="shared" ca="1" si="2"/>
        <v>#REF!</v>
      </c>
      <c r="H15" s="122" t="e">
        <f t="shared" ca="1" si="2"/>
        <v>#REF!</v>
      </c>
      <c r="I15" s="122" t="e">
        <f t="shared" ca="1" si="2"/>
        <v>#REF!</v>
      </c>
      <c r="J15" s="122" t="e">
        <f t="shared" ca="1" si="2"/>
        <v>#REF!</v>
      </c>
      <c r="K15" s="122" t="e">
        <f t="shared" ca="1" si="2"/>
        <v>#REF!</v>
      </c>
      <c r="L15" s="122" t="e">
        <f t="shared" ca="1" si="2"/>
        <v>#REF!</v>
      </c>
      <c r="M15" s="122" t="e">
        <f t="shared" ca="1" si="2"/>
        <v>#REF!</v>
      </c>
      <c r="N15" s="105" t="e">
        <f t="shared" ca="1" si="2"/>
        <v>#REF!</v>
      </c>
      <c r="O15" s="122" t="e">
        <f ca="1">SUM(Var_OfficeCosts[[#This Row],[JANUARY]:[DECEMBER]])</f>
        <v>#REF!</v>
      </c>
      <c r="P15" s="108"/>
    </row>
    <row r="16" spans="1:16" ht="24" customHeight="1">
      <c r="A16" s="112"/>
      <c r="B16" s="106" t="s">
        <v>143</v>
      </c>
      <c r="C16" s="124" t="e">
        <f t="shared" ca="1" si="2"/>
        <v>#REF!</v>
      </c>
      <c r="D16" s="123" t="e">
        <f t="shared" ca="1" si="2"/>
        <v>#REF!</v>
      </c>
      <c r="E16" s="122" t="e">
        <f t="shared" ca="1" si="2"/>
        <v>#REF!</v>
      </c>
      <c r="F16" s="122" t="e">
        <f t="shared" ca="1" si="2"/>
        <v>#REF!</v>
      </c>
      <c r="G16" s="122" t="e">
        <f t="shared" ca="1" si="2"/>
        <v>#REF!</v>
      </c>
      <c r="H16" s="122" t="e">
        <f t="shared" ca="1" si="2"/>
        <v>#REF!</v>
      </c>
      <c r="I16" s="122" t="e">
        <f t="shared" ca="1" si="2"/>
        <v>#REF!</v>
      </c>
      <c r="J16" s="122" t="e">
        <f t="shared" ca="1" si="2"/>
        <v>#REF!</v>
      </c>
      <c r="K16" s="122" t="e">
        <f t="shared" ca="1" si="2"/>
        <v>#REF!</v>
      </c>
      <c r="L16" s="122" t="e">
        <f t="shared" ca="1" si="2"/>
        <v>#REF!</v>
      </c>
      <c r="M16" s="122" t="e">
        <f t="shared" ca="1" si="2"/>
        <v>#REF!</v>
      </c>
      <c r="N16" s="105" t="e">
        <f t="shared" ca="1" si="2"/>
        <v>#REF!</v>
      </c>
      <c r="O16" s="122" t="e">
        <f ca="1">SUM(Var_OfficeCosts[[#This Row],[JANUARY]:[DECEMBER]])</f>
        <v>#REF!</v>
      </c>
      <c r="P16" s="108"/>
    </row>
    <row r="17" spans="1:17" ht="24" customHeight="1">
      <c r="A17" s="112"/>
      <c r="B17" s="106" t="s">
        <v>142</v>
      </c>
      <c r="C17" s="124" t="e">
        <f t="shared" ca="1" si="2"/>
        <v>#REF!</v>
      </c>
      <c r="D17" s="123" t="e">
        <f t="shared" ca="1" si="2"/>
        <v>#REF!</v>
      </c>
      <c r="E17" s="122" t="e">
        <f t="shared" ca="1" si="2"/>
        <v>#REF!</v>
      </c>
      <c r="F17" s="122" t="e">
        <f t="shared" ca="1" si="2"/>
        <v>#REF!</v>
      </c>
      <c r="G17" s="122" t="e">
        <f t="shared" ca="1" si="2"/>
        <v>#REF!</v>
      </c>
      <c r="H17" s="122" t="e">
        <f t="shared" ca="1" si="2"/>
        <v>#REF!</v>
      </c>
      <c r="I17" s="122" t="e">
        <f t="shared" ca="1" si="2"/>
        <v>#REF!</v>
      </c>
      <c r="J17" s="122" t="e">
        <f t="shared" ca="1" si="2"/>
        <v>#REF!</v>
      </c>
      <c r="K17" s="122" t="e">
        <f t="shared" ca="1" si="2"/>
        <v>#REF!</v>
      </c>
      <c r="L17" s="122" t="e">
        <f t="shared" ca="1" si="2"/>
        <v>#REF!</v>
      </c>
      <c r="M17" s="122" t="e">
        <f t="shared" ca="1" si="2"/>
        <v>#REF!</v>
      </c>
      <c r="N17" s="105" t="e">
        <f t="shared" ca="1" si="2"/>
        <v>#REF!</v>
      </c>
      <c r="O17" s="122" t="e">
        <f ca="1">SUM(Var_OfficeCosts[[#This Row],[JANUARY]:[DECEMBER]])</f>
        <v>#REF!</v>
      </c>
      <c r="P17" s="108"/>
    </row>
    <row r="18" spans="1:17" ht="24" customHeight="1">
      <c r="A18" s="112"/>
      <c r="B18" s="106" t="s">
        <v>141</v>
      </c>
      <c r="C18" s="124" t="e">
        <f t="shared" ca="1" si="2"/>
        <v>#REF!</v>
      </c>
      <c r="D18" s="123" t="e">
        <f t="shared" ca="1" si="2"/>
        <v>#REF!</v>
      </c>
      <c r="E18" s="122" t="e">
        <f t="shared" ca="1" si="2"/>
        <v>#REF!</v>
      </c>
      <c r="F18" s="122" t="e">
        <f t="shared" ca="1" si="2"/>
        <v>#REF!</v>
      </c>
      <c r="G18" s="122" t="e">
        <f t="shared" ca="1" si="2"/>
        <v>#REF!</v>
      </c>
      <c r="H18" s="122" t="e">
        <f t="shared" ca="1" si="2"/>
        <v>#REF!</v>
      </c>
      <c r="I18" s="122" t="e">
        <f t="shared" ca="1" si="2"/>
        <v>#REF!</v>
      </c>
      <c r="J18" s="122" t="e">
        <f t="shared" ca="1" si="2"/>
        <v>#REF!</v>
      </c>
      <c r="K18" s="122" t="e">
        <f t="shared" ca="1" si="2"/>
        <v>#REF!</v>
      </c>
      <c r="L18" s="122" t="e">
        <f t="shared" ca="1" si="2"/>
        <v>#REF!</v>
      </c>
      <c r="M18" s="122" t="e">
        <f t="shared" ca="1" si="2"/>
        <v>#REF!</v>
      </c>
      <c r="N18" s="105" t="e">
        <f t="shared" ca="1" si="2"/>
        <v>#REF!</v>
      </c>
      <c r="O18" s="122" t="e">
        <f ca="1">SUM(Var_OfficeCosts[[#This Row],[JANUARY]:[DECEMBER]])</f>
        <v>#REF!</v>
      </c>
      <c r="P18" s="108"/>
    </row>
    <row r="19" spans="1:17" ht="24" customHeight="1">
      <c r="A19" s="112"/>
      <c r="B19" s="106" t="s">
        <v>140</v>
      </c>
      <c r="C19" s="124" t="e">
        <f t="shared" ca="1" si="2"/>
        <v>#REF!</v>
      </c>
      <c r="D19" s="123" t="e">
        <f t="shared" ca="1" si="2"/>
        <v>#REF!</v>
      </c>
      <c r="E19" s="122" t="e">
        <f t="shared" ca="1" si="2"/>
        <v>#REF!</v>
      </c>
      <c r="F19" s="122" t="e">
        <f t="shared" ca="1" si="2"/>
        <v>#REF!</v>
      </c>
      <c r="G19" s="122" t="e">
        <f t="shared" ca="1" si="2"/>
        <v>#REF!</v>
      </c>
      <c r="H19" s="122" t="e">
        <f t="shared" ca="1" si="2"/>
        <v>#REF!</v>
      </c>
      <c r="I19" s="122" t="e">
        <f t="shared" ca="1" si="2"/>
        <v>#REF!</v>
      </c>
      <c r="J19" s="122" t="e">
        <f t="shared" ca="1" si="2"/>
        <v>#REF!</v>
      </c>
      <c r="K19" s="122" t="e">
        <f t="shared" ca="1" si="2"/>
        <v>#REF!</v>
      </c>
      <c r="L19" s="122" t="e">
        <f t="shared" ca="1" si="2"/>
        <v>#REF!</v>
      </c>
      <c r="M19" s="122" t="e">
        <f t="shared" ca="1" si="2"/>
        <v>#REF!</v>
      </c>
      <c r="N19" s="105" t="e">
        <f t="shared" ca="1" si="2"/>
        <v>#REF!</v>
      </c>
      <c r="O19" s="122" t="e">
        <f ca="1">SUM(Var_OfficeCosts[[#This Row],[JANUARY]:[DECEMBER]])</f>
        <v>#REF!</v>
      </c>
      <c r="P19" s="108"/>
    </row>
    <row r="20" spans="1:17" ht="24" customHeight="1">
      <c r="A20" s="112"/>
      <c r="B20" s="106" t="s">
        <v>139</v>
      </c>
      <c r="C20" s="124" t="e">
        <f t="shared" ca="1" si="2"/>
        <v>#REF!</v>
      </c>
      <c r="D20" s="123" t="e">
        <f t="shared" ca="1" si="2"/>
        <v>#REF!</v>
      </c>
      <c r="E20" s="122" t="e">
        <f t="shared" ca="1" si="2"/>
        <v>#REF!</v>
      </c>
      <c r="F20" s="122" t="e">
        <f t="shared" ca="1" si="2"/>
        <v>#REF!</v>
      </c>
      <c r="G20" s="122" t="e">
        <f t="shared" ca="1" si="2"/>
        <v>#REF!</v>
      </c>
      <c r="H20" s="122" t="e">
        <f t="shared" ca="1" si="2"/>
        <v>#REF!</v>
      </c>
      <c r="I20" s="122" t="e">
        <f t="shared" ca="1" si="2"/>
        <v>#REF!</v>
      </c>
      <c r="J20" s="122" t="e">
        <f t="shared" ca="1" si="2"/>
        <v>#REF!</v>
      </c>
      <c r="K20" s="122" t="e">
        <f t="shared" ca="1" si="2"/>
        <v>#REF!</v>
      </c>
      <c r="L20" s="122" t="e">
        <f t="shared" ca="1" si="2"/>
        <v>#REF!</v>
      </c>
      <c r="M20" s="122" t="e">
        <f t="shared" ca="1" si="2"/>
        <v>#REF!</v>
      </c>
      <c r="N20" s="105" t="e">
        <f t="shared" ca="1" si="2"/>
        <v>#REF!</v>
      </c>
      <c r="O20" s="122" t="e">
        <f ca="1">SUM(Var_OfficeCosts[[#This Row],[JANUARY]:[DECEMBER]])</f>
        <v>#REF!</v>
      </c>
      <c r="P20" s="108"/>
    </row>
    <row r="21" spans="1:17" ht="24" customHeight="1">
      <c r="A21" s="112"/>
      <c r="B21" s="106" t="s">
        <v>138</v>
      </c>
      <c r="C21" s="124" t="e">
        <f t="shared" ca="1" si="2"/>
        <v>#REF!</v>
      </c>
      <c r="D21" s="123" t="e">
        <f t="shared" ca="1" si="2"/>
        <v>#REF!</v>
      </c>
      <c r="E21" s="122" t="e">
        <f t="shared" ca="1" si="2"/>
        <v>#REF!</v>
      </c>
      <c r="F21" s="122" t="e">
        <f t="shared" ca="1" si="2"/>
        <v>#REF!</v>
      </c>
      <c r="G21" s="122" t="e">
        <f t="shared" ca="1" si="2"/>
        <v>#REF!</v>
      </c>
      <c r="H21" s="122" t="e">
        <f t="shared" ca="1" si="2"/>
        <v>#REF!</v>
      </c>
      <c r="I21" s="122" t="e">
        <f t="shared" ca="1" si="2"/>
        <v>#REF!</v>
      </c>
      <c r="J21" s="122" t="e">
        <f t="shared" ca="1" si="2"/>
        <v>#REF!</v>
      </c>
      <c r="K21" s="122" t="e">
        <f t="shared" ca="1" si="2"/>
        <v>#REF!</v>
      </c>
      <c r="L21" s="122" t="e">
        <f t="shared" ca="1" si="2"/>
        <v>#REF!</v>
      </c>
      <c r="M21" s="122" t="e">
        <f t="shared" ca="1" si="2"/>
        <v>#REF!</v>
      </c>
      <c r="N21" s="105" t="e">
        <f t="shared" ca="1" si="2"/>
        <v>#REF!</v>
      </c>
      <c r="O21" s="122" t="e">
        <f ca="1">SUM(Var_OfficeCosts[[#This Row],[JANUARY]:[DECEMBER]])</f>
        <v>#REF!</v>
      </c>
      <c r="P21" s="108"/>
    </row>
    <row r="22" spans="1:17" s="126" customFormat="1" ht="24" customHeight="1">
      <c r="A22" s="133"/>
      <c r="B22" s="106" t="s">
        <v>137</v>
      </c>
      <c r="C22" s="124" t="e">
        <f t="shared" ca="1" si="2"/>
        <v>#REF!</v>
      </c>
      <c r="D22" s="123" t="e">
        <f t="shared" ca="1" si="2"/>
        <v>#REF!</v>
      </c>
      <c r="E22" s="122" t="e">
        <f t="shared" ca="1" si="2"/>
        <v>#REF!</v>
      </c>
      <c r="F22" s="122" t="e">
        <f t="shared" ca="1" si="2"/>
        <v>#REF!</v>
      </c>
      <c r="G22" s="122" t="e">
        <f t="shared" ca="1" si="2"/>
        <v>#REF!</v>
      </c>
      <c r="H22" s="122" t="e">
        <f t="shared" ca="1" si="2"/>
        <v>#REF!</v>
      </c>
      <c r="I22" s="122" t="e">
        <f t="shared" ca="1" si="2"/>
        <v>#REF!</v>
      </c>
      <c r="J22" s="122" t="e">
        <f t="shared" ca="1" si="2"/>
        <v>#REF!</v>
      </c>
      <c r="K22" s="122" t="e">
        <f t="shared" ca="1" si="2"/>
        <v>#REF!</v>
      </c>
      <c r="L22" s="122" t="e">
        <f t="shared" ca="1" si="2"/>
        <v>#REF!</v>
      </c>
      <c r="M22" s="122" t="e">
        <f t="shared" ca="1" si="2"/>
        <v>#REF!</v>
      </c>
      <c r="N22" s="105" t="e">
        <f t="shared" ca="1" si="2"/>
        <v>#REF!</v>
      </c>
      <c r="O22" s="122" t="e">
        <f ca="1">SUM(Var_OfficeCosts[[#This Row],[JANUARY]:[DECEMBER]])</f>
        <v>#REF!</v>
      </c>
      <c r="P22" s="127"/>
    </row>
    <row r="23" spans="1:17" ht="24" customHeight="1">
      <c r="A23" s="112"/>
      <c r="B23" s="111"/>
      <c r="C23" s="121"/>
      <c r="D23" s="110"/>
      <c r="E23" s="120"/>
      <c r="F23" s="120"/>
      <c r="G23" s="120"/>
      <c r="H23" s="120"/>
      <c r="I23" s="120"/>
      <c r="J23" s="120"/>
      <c r="K23" s="120"/>
      <c r="L23" s="120"/>
      <c r="M23" s="120"/>
      <c r="N23" s="109"/>
      <c r="O23" s="120"/>
      <c r="P23" s="108"/>
      <c r="Q23" s="134"/>
    </row>
    <row r="24" spans="1:17" s="126" customFormat="1" ht="24" customHeight="1">
      <c r="A24" s="133"/>
      <c r="B24" s="132" t="s">
        <v>136</v>
      </c>
      <c r="C24" s="131" t="e">
        <f t="shared" ref="C24:O24" ca="1" si="3">SUM(INDIRECT("Var_MarketingCosts["&amp;C$6&amp;"]"))</f>
        <v>#REF!</v>
      </c>
      <c r="D24" s="130" t="e">
        <f t="shared" ca="1" si="3"/>
        <v>#REF!</v>
      </c>
      <c r="E24" s="128" t="e">
        <f t="shared" ca="1" si="3"/>
        <v>#REF!</v>
      </c>
      <c r="F24" s="128" t="e">
        <f t="shared" ca="1" si="3"/>
        <v>#REF!</v>
      </c>
      <c r="G24" s="128" t="e">
        <f t="shared" ca="1" si="3"/>
        <v>#REF!</v>
      </c>
      <c r="H24" s="128" t="e">
        <f t="shared" ca="1" si="3"/>
        <v>#REF!</v>
      </c>
      <c r="I24" s="128" t="e">
        <f t="shared" ca="1" si="3"/>
        <v>#REF!</v>
      </c>
      <c r="J24" s="128" t="e">
        <f t="shared" ca="1" si="3"/>
        <v>#REF!</v>
      </c>
      <c r="K24" s="128" t="e">
        <f t="shared" ca="1" si="3"/>
        <v>#REF!</v>
      </c>
      <c r="L24" s="128" t="e">
        <f t="shared" ca="1" si="3"/>
        <v>#REF!</v>
      </c>
      <c r="M24" s="128" t="e">
        <f t="shared" ca="1" si="3"/>
        <v>#REF!</v>
      </c>
      <c r="N24" s="129" t="e">
        <f t="shared" ca="1" si="3"/>
        <v>#REF!</v>
      </c>
      <c r="O24" s="128" t="e">
        <f t="shared" ca="1" si="3"/>
        <v>#REF!</v>
      </c>
      <c r="P24" s="127"/>
    </row>
    <row r="25" spans="1:17" ht="24" hidden="1" customHeight="1">
      <c r="A25" s="112"/>
      <c r="B25" s="125" t="s">
        <v>136</v>
      </c>
      <c r="C25" s="124" t="s">
        <v>127</v>
      </c>
      <c r="D25" s="123" t="s">
        <v>126</v>
      </c>
      <c r="E25" s="122" t="s">
        <v>125</v>
      </c>
      <c r="F25" s="122" t="s">
        <v>124</v>
      </c>
      <c r="G25" s="122" t="s">
        <v>123</v>
      </c>
      <c r="H25" s="122" t="s">
        <v>122</v>
      </c>
      <c r="I25" s="122" t="s">
        <v>121</v>
      </c>
      <c r="J25" s="122" t="s">
        <v>120</v>
      </c>
      <c r="K25" s="122" t="s">
        <v>119</v>
      </c>
      <c r="L25" s="122" t="s">
        <v>118</v>
      </c>
      <c r="M25" s="122" t="s">
        <v>117</v>
      </c>
      <c r="N25" s="105" t="s">
        <v>116</v>
      </c>
      <c r="O25" s="122" t="s">
        <v>68</v>
      </c>
      <c r="P25" s="108"/>
    </row>
    <row r="26" spans="1:17" ht="24" customHeight="1">
      <c r="A26" s="112"/>
      <c r="B26" s="106" t="s">
        <v>135</v>
      </c>
      <c r="C26" s="124" t="e">
        <f t="shared" ref="C26:N31" ca="1" si="4">IF(INDIRECT("Actual_MarketingCosts["&amp;C$6&amp;"]")="","",INDIRECT("Plan_MarketingCosts["&amp;C$6&amp;"]")-INDIRECT("Actual_MarketingCosts["&amp;C$6&amp;"]"))</f>
        <v>#REF!</v>
      </c>
      <c r="D26" s="123" t="e">
        <f t="shared" ca="1" si="4"/>
        <v>#REF!</v>
      </c>
      <c r="E26" s="122" t="e">
        <f t="shared" ca="1" si="4"/>
        <v>#REF!</v>
      </c>
      <c r="F26" s="122" t="e">
        <f t="shared" ca="1" si="4"/>
        <v>#REF!</v>
      </c>
      <c r="G26" s="122" t="e">
        <f t="shared" ca="1" si="4"/>
        <v>#REF!</v>
      </c>
      <c r="H26" s="122" t="e">
        <f t="shared" ca="1" si="4"/>
        <v>#REF!</v>
      </c>
      <c r="I26" s="122" t="e">
        <f t="shared" ca="1" si="4"/>
        <v>#REF!</v>
      </c>
      <c r="J26" s="122" t="e">
        <f t="shared" ca="1" si="4"/>
        <v>#REF!</v>
      </c>
      <c r="K26" s="122" t="e">
        <f t="shared" ca="1" si="4"/>
        <v>#REF!</v>
      </c>
      <c r="L26" s="122" t="e">
        <f t="shared" ca="1" si="4"/>
        <v>#REF!</v>
      </c>
      <c r="M26" s="122" t="e">
        <f t="shared" ca="1" si="4"/>
        <v>#REF!</v>
      </c>
      <c r="N26" s="105" t="e">
        <f t="shared" ca="1" si="4"/>
        <v>#REF!</v>
      </c>
      <c r="O26" s="122" t="e">
        <f ca="1">SUM(Var_MarketingCosts[[#This Row],[JANUARY]:[DECEMBER]])</f>
        <v>#REF!</v>
      </c>
      <c r="P26" s="108"/>
    </row>
    <row r="27" spans="1:17" ht="24" customHeight="1">
      <c r="A27" s="112"/>
      <c r="B27" s="106" t="s">
        <v>134</v>
      </c>
      <c r="C27" s="124" t="e">
        <f t="shared" ca="1" si="4"/>
        <v>#REF!</v>
      </c>
      <c r="D27" s="123" t="e">
        <f t="shared" ca="1" si="4"/>
        <v>#REF!</v>
      </c>
      <c r="E27" s="122" t="e">
        <f t="shared" ca="1" si="4"/>
        <v>#REF!</v>
      </c>
      <c r="F27" s="122" t="e">
        <f t="shared" ca="1" si="4"/>
        <v>#REF!</v>
      </c>
      <c r="G27" s="122" t="e">
        <f t="shared" ca="1" si="4"/>
        <v>#REF!</v>
      </c>
      <c r="H27" s="122" t="e">
        <f t="shared" ca="1" si="4"/>
        <v>#REF!</v>
      </c>
      <c r="I27" s="122" t="e">
        <f t="shared" ca="1" si="4"/>
        <v>#REF!</v>
      </c>
      <c r="J27" s="122" t="e">
        <f t="shared" ca="1" si="4"/>
        <v>#REF!</v>
      </c>
      <c r="K27" s="122" t="e">
        <f t="shared" ca="1" si="4"/>
        <v>#REF!</v>
      </c>
      <c r="L27" s="122" t="e">
        <f t="shared" ca="1" si="4"/>
        <v>#REF!</v>
      </c>
      <c r="M27" s="122" t="e">
        <f t="shared" ca="1" si="4"/>
        <v>#REF!</v>
      </c>
      <c r="N27" s="105" t="e">
        <f t="shared" ca="1" si="4"/>
        <v>#REF!</v>
      </c>
      <c r="O27" s="122" t="e">
        <f ca="1">SUM(Var_MarketingCosts[[#This Row],[JANUARY]:[DECEMBER]])</f>
        <v>#REF!</v>
      </c>
      <c r="P27" s="108"/>
    </row>
    <row r="28" spans="1:17" ht="24" customHeight="1">
      <c r="A28" s="112"/>
      <c r="B28" s="106" t="s">
        <v>133</v>
      </c>
      <c r="C28" s="124" t="e">
        <f t="shared" ca="1" si="4"/>
        <v>#REF!</v>
      </c>
      <c r="D28" s="123" t="e">
        <f t="shared" ca="1" si="4"/>
        <v>#REF!</v>
      </c>
      <c r="E28" s="122" t="e">
        <f t="shared" ca="1" si="4"/>
        <v>#REF!</v>
      </c>
      <c r="F28" s="122" t="e">
        <f t="shared" ca="1" si="4"/>
        <v>#REF!</v>
      </c>
      <c r="G28" s="122" t="e">
        <f t="shared" ca="1" si="4"/>
        <v>#REF!</v>
      </c>
      <c r="H28" s="122" t="e">
        <f t="shared" ca="1" si="4"/>
        <v>#REF!</v>
      </c>
      <c r="I28" s="122" t="e">
        <f t="shared" ca="1" si="4"/>
        <v>#REF!</v>
      </c>
      <c r="J28" s="122" t="e">
        <f t="shared" ca="1" si="4"/>
        <v>#REF!</v>
      </c>
      <c r="K28" s="122" t="e">
        <f t="shared" ca="1" si="4"/>
        <v>#REF!</v>
      </c>
      <c r="L28" s="122" t="e">
        <f t="shared" ca="1" si="4"/>
        <v>#REF!</v>
      </c>
      <c r="M28" s="122" t="e">
        <f t="shared" ca="1" si="4"/>
        <v>#REF!</v>
      </c>
      <c r="N28" s="105" t="e">
        <f t="shared" ca="1" si="4"/>
        <v>#REF!</v>
      </c>
      <c r="O28" s="122" t="e">
        <f ca="1">SUM(Var_MarketingCosts[[#This Row],[JANUARY]:[DECEMBER]])</f>
        <v>#REF!</v>
      </c>
      <c r="P28" s="108"/>
    </row>
    <row r="29" spans="1:17" ht="24" customHeight="1">
      <c r="A29" s="112"/>
      <c r="B29" s="106" t="s">
        <v>132</v>
      </c>
      <c r="C29" s="124" t="e">
        <f t="shared" ca="1" si="4"/>
        <v>#REF!</v>
      </c>
      <c r="D29" s="123" t="e">
        <f t="shared" ca="1" si="4"/>
        <v>#REF!</v>
      </c>
      <c r="E29" s="122" t="e">
        <f t="shared" ca="1" si="4"/>
        <v>#REF!</v>
      </c>
      <c r="F29" s="122" t="e">
        <f t="shared" ca="1" si="4"/>
        <v>#REF!</v>
      </c>
      <c r="G29" s="122" t="e">
        <f t="shared" ca="1" si="4"/>
        <v>#REF!</v>
      </c>
      <c r="H29" s="122" t="e">
        <f t="shared" ca="1" si="4"/>
        <v>#REF!</v>
      </c>
      <c r="I29" s="122" t="e">
        <f t="shared" ca="1" si="4"/>
        <v>#REF!</v>
      </c>
      <c r="J29" s="122" t="e">
        <f t="shared" ca="1" si="4"/>
        <v>#REF!</v>
      </c>
      <c r="K29" s="122" t="e">
        <f t="shared" ca="1" si="4"/>
        <v>#REF!</v>
      </c>
      <c r="L29" s="122" t="e">
        <f t="shared" ca="1" si="4"/>
        <v>#REF!</v>
      </c>
      <c r="M29" s="122" t="e">
        <f t="shared" ca="1" si="4"/>
        <v>#REF!</v>
      </c>
      <c r="N29" s="105" t="e">
        <f t="shared" ca="1" si="4"/>
        <v>#REF!</v>
      </c>
      <c r="O29" s="122" t="e">
        <f ca="1">SUM(Var_MarketingCosts[[#This Row],[JANUARY]:[DECEMBER]])</f>
        <v>#REF!</v>
      </c>
      <c r="P29" s="108"/>
    </row>
    <row r="30" spans="1:17" ht="24" customHeight="1">
      <c r="A30" s="112"/>
      <c r="B30" s="106" t="s">
        <v>131</v>
      </c>
      <c r="C30" s="124" t="e">
        <f t="shared" ca="1" si="4"/>
        <v>#REF!</v>
      </c>
      <c r="D30" s="123" t="e">
        <f t="shared" ca="1" si="4"/>
        <v>#REF!</v>
      </c>
      <c r="E30" s="122" t="e">
        <f t="shared" ca="1" si="4"/>
        <v>#REF!</v>
      </c>
      <c r="F30" s="122" t="e">
        <f t="shared" ca="1" si="4"/>
        <v>#REF!</v>
      </c>
      <c r="G30" s="122" t="e">
        <f t="shared" ca="1" si="4"/>
        <v>#REF!</v>
      </c>
      <c r="H30" s="122" t="e">
        <f t="shared" ca="1" si="4"/>
        <v>#REF!</v>
      </c>
      <c r="I30" s="122" t="e">
        <f t="shared" ca="1" si="4"/>
        <v>#REF!</v>
      </c>
      <c r="J30" s="122" t="e">
        <f t="shared" ca="1" si="4"/>
        <v>#REF!</v>
      </c>
      <c r="K30" s="122" t="e">
        <f t="shared" ca="1" si="4"/>
        <v>#REF!</v>
      </c>
      <c r="L30" s="122" t="e">
        <f t="shared" ca="1" si="4"/>
        <v>#REF!</v>
      </c>
      <c r="M30" s="122" t="e">
        <f t="shared" ca="1" si="4"/>
        <v>#REF!</v>
      </c>
      <c r="N30" s="105" t="e">
        <f t="shared" ca="1" si="4"/>
        <v>#REF!</v>
      </c>
      <c r="O30" s="122" t="e">
        <f ca="1">SUM(Var_MarketingCosts[[#This Row],[JANUARY]:[DECEMBER]])</f>
        <v>#REF!</v>
      </c>
      <c r="P30" s="108"/>
    </row>
    <row r="31" spans="1:17" ht="24" customHeight="1">
      <c r="A31" s="112"/>
      <c r="B31" s="106" t="s">
        <v>130</v>
      </c>
      <c r="C31" s="124" t="e">
        <f t="shared" ca="1" si="4"/>
        <v>#REF!</v>
      </c>
      <c r="D31" s="123" t="e">
        <f t="shared" ca="1" si="4"/>
        <v>#REF!</v>
      </c>
      <c r="E31" s="122" t="e">
        <f t="shared" ca="1" si="4"/>
        <v>#REF!</v>
      </c>
      <c r="F31" s="122" t="e">
        <f t="shared" ca="1" si="4"/>
        <v>#REF!</v>
      </c>
      <c r="G31" s="122" t="e">
        <f t="shared" ca="1" si="4"/>
        <v>#REF!</v>
      </c>
      <c r="H31" s="122" t="e">
        <f t="shared" ca="1" si="4"/>
        <v>#REF!</v>
      </c>
      <c r="I31" s="122" t="e">
        <f t="shared" ca="1" si="4"/>
        <v>#REF!</v>
      </c>
      <c r="J31" s="122" t="e">
        <f t="shared" ca="1" si="4"/>
        <v>#REF!</v>
      </c>
      <c r="K31" s="122" t="e">
        <f t="shared" ca="1" si="4"/>
        <v>#REF!</v>
      </c>
      <c r="L31" s="122" t="e">
        <f t="shared" ca="1" si="4"/>
        <v>#REF!</v>
      </c>
      <c r="M31" s="122" t="e">
        <f t="shared" ca="1" si="4"/>
        <v>#REF!</v>
      </c>
      <c r="N31" s="105" t="e">
        <f t="shared" ca="1" si="4"/>
        <v>#REF!</v>
      </c>
      <c r="O31" s="122" t="e">
        <f ca="1">SUM(Var_MarketingCosts[[#This Row],[JANUARY]:[DECEMBER]])</f>
        <v>#REF!</v>
      </c>
      <c r="P31" s="108"/>
    </row>
    <row r="32" spans="1:17" ht="24" customHeight="1">
      <c r="A32" s="112"/>
      <c r="C32" s="124"/>
      <c r="D32" s="123"/>
      <c r="E32" s="122"/>
      <c r="F32" s="122"/>
      <c r="G32" s="122"/>
      <c r="H32" s="122"/>
      <c r="I32" s="122"/>
      <c r="J32" s="122"/>
      <c r="K32" s="122"/>
      <c r="L32" s="122"/>
      <c r="M32" s="122"/>
      <c r="O32" s="122"/>
      <c r="P32" s="108"/>
    </row>
    <row r="33" spans="1:16" s="126" customFormat="1" ht="24" customHeight="1">
      <c r="A33" s="133"/>
      <c r="B33" s="132" t="s">
        <v>129</v>
      </c>
      <c r="C33" s="131" t="e">
        <f t="shared" ref="C33:O33" ca="1" si="5">SUM(INDIRECT("Var_TrainingTravel["&amp;C$6&amp;"]"))</f>
        <v>#REF!</v>
      </c>
      <c r="D33" s="130" t="e">
        <f t="shared" ca="1" si="5"/>
        <v>#REF!</v>
      </c>
      <c r="E33" s="128" t="e">
        <f t="shared" ca="1" si="5"/>
        <v>#REF!</v>
      </c>
      <c r="F33" s="128" t="e">
        <f t="shared" ca="1" si="5"/>
        <v>#REF!</v>
      </c>
      <c r="G33" s="128" t="e">
        <f t="shared" ca="1" si="5"/>
        <v>#REF!</v>
      </c>
      <c r="H33" s="128" t="e">
        <f t="shared" ca="1" si="5"/>
        <v>#REF!</v>
      </c>
      <c r="I33" s="128" t="e">
        <f t="shared" ca="1" si="5"/>
        <v>#REF!</v>
      </c>
      <c r="J33" s="128" t="e">
        <f t="shared" ca="1" si="5"/>
        <v>#REF!</v>
      </c>
      <c r="K33" s="128" t="e">
        <f t="shared" ca="1" si="5"/>
        <v>#REF!</v>
      </c>
      <c r="L33" s="128" t="e">
        <f t="shared" ca="1" si="5"/>
        <v>#REF!</v>
      </c>
      <c r="M33" s="128" t="e">
        <f t="shared" ca="1" si="5"/>
        <v>#REF!</v>
      </c>
      <c r="N33" s="129" t="e">
        <f t="shared" ca="1" si="5"/>
        <v>#REF!</v>
      </c>
      <c r="O33" s="128" t="e">
        <f t="shared" ca="1" si="5"/>
        <v>#REF!</v>
      </c>
      <c r="P33" s="127"/>
    </row>
    <row r="34" spans="1:16" ht="24" hidden="1" customHeight="1">
      <c r="A34" s="112"/>
      <c r="B34" s="125" t="s">
        <v>128</v>
      </c>
      <c r="C34" s="124" t="s">
        <v>127</v>
      </c>
      <c r="D34" s="123" t="s">
        <v>126</v>
      </c>
      <c r="E34" s="122" t="s">
        <v>125</v>
      </c>
      <c r="F34" s="122" t="s">
        <v>124</v>
      </c>
      <c r="G34" s="122" t="s">
        <v>123</v>
      </c>
      <c r="H34" s="122" t="s">
        <v>122</v>
      </c>
      <c r="I34" s="122" t="s">
        <v>121</v>
      </c>
      <c r="J34" s="122" t="s">
        <v>120</v>
      </c>
      <c r="K34" s="122" t="s">
        <v>119</v>
      </c>
      <c r="L34" s="122" t="s">
        <v>118</v>
      </c>
      <c r="M34" s="122" t="s">
        <v>117</v>
      </c>
      <c r="N34" s="105" t="s">
        <v>116</v>
      </c>
      <c r="O34" s="122" t="s">
        <v>68</v>
      </c>
      <c r="P34" s="108"/>
    </row>
    <row r="35" spans="1:16" ht="24" customHeight="1">
      <c r="A35" s="112"/>
      <c r="B35" s="106" t="s">
        <v>115</v>
      </c>
      <c r="C35" s="124" t="e">
        <f t="shared" ref="C35:N36" ca="1" si="6">IF(INDIRECT("Actual_TrainingTravel["&amp;C$6&amp;"]")="","",INDIRECT("Plan_TrainingTravel["&amp;C$6&amp;"]")-INDIRECT("Actual_TrainingTravel["&amp;C$6&amp;"]"))</f>
        <v>#REF!</v>
      </c>
      <c r="D35" s="123" t="e">
        <f t="shared" ca="1" si="6"/>
        <v>#REF!</v>
      </c>
      <c r="E35" s="122" t="e">
        <f t="shared" ca="1" si="6"/>
        <v>#REF!</v>
      </c>
      <c r="F35" s="122" t="e">
        <f t="shared" ca="1" si="6"/>
        <v>#REF!</v>
      </c>
      <c r="G35" s="122" t="e">
        <f t="shared" ca="1" si="6"/>
        <v>#REF!</v>
      </c>
      <c r="H35" s="122" t="e">
        <f t="shared" ca="1" si="6"/>
        <v>#REF!</v>
      </c>
      <c r="I35" s="122" t="e">
        <f t="shared" ca="1" si="6"/>
        <v>#REF!</v>
      </c>
      <c r="J35" s="122" t="e">
        <f t="shared" ca="1" si="6"/>
        <v>#REF!</v>
      </c>
      <c r="K35" s="122" t="e">
        <f t="shared" ca="1" si="6"/>
        <v>#REF!</v>
      </c>
      <c r="L35" s="122" t="e">
        <f t="shared" ca="1" si="6"/>
        <v>#REF!</v>
      </c>
      <c r="M35" s="122" t="e">
        <f t="shared" ca="1" si="6"/>
        <v>#REF!</v>
      </c>
      <c r="N35" s="105" t="e">
        <f t="shared" ca="1" si="6"/>
        <v>#REF!</v>
      </c>
      <c r="O35" s="122" t="e">
        <f ca="1">SUM(Var_TrainingTravel[[#This Row],[JANUARY]:[DECEMBER]])</f>
        <v>#REF!</v>
      </c>
      <c r="P35" s="108"/>
    </row>
    <row r="36" spans="1:16" ht="24" customHeight="1">
      <c r="A36" s="112"/>
      <c r="B36" s="106" t="s">
        <v>114</v>
      </c>
      <c r="C36" s="124" t="e">
        <f t="shared" ca="1" si="6"/>
        <v>#REF!</v>
      </c>
      <c r="D36" s="123" t="e">
        <f t="shared" ca="1" si="6"/>
        <v>#REF!</v>
      </c>
      <c r="E36" s="122" t="e">
        <f t="shared" ca="1" si="6"/>
        <v>#REF!</v>
      </c>
      <c r="F36" s="122" t="e">
        <f t="shared" ca="1" si="6"/>
        <v>#REF!</v>
      </c>
      <c r="G36" s="122" t="e">
        <f t="shared" ca="1" si="6"/>
        <v>#REF!</v>
      </c>
      <c r="H36" s="122" t="e">
        <f t="shared" ca="1" si="6"/>
        <v>#REF!</v>
      </c>
      <c r="I36" s="122" t="e">
        <f t="shared" ca="1" si="6"/>
        <v>#REF!</v>
      </c>
      <c r="J36" s="122" t="e">
        <f t="shared" ca="1" si="6"/>
        <v>#REF!</v>
      </c>
      <c r="K36" s="122" t="e">
        <f t="shared" ca="1" si="6"/>
        <v>#REF!</v>
      </c>
      <c r="L36" s="122" t="e">
        <f t="shared" ca="1" si="6"/>
        <v>#REF!</v>
      </c>
      <c r="M36" s="122" t="e">
        <f t="shared" ca="1" si="6"/>
        <v>#REF!</v>
      </c>
      <c r="N36" s="105" t="e">
        <f t="shared" ca="1" si="6"/>
        <v>#REF!</v>
      </c>
      <c r="O36" s="122" t="e">
        <f ca="1">SUM(Var_TrainingTravel[[#This Row],[JANUARY]:[DECEMBER]])</f>
        <v>#REF!</v>
      </c>
      <c r="P36" s="108"/>
    </row>
    <row r="37" spans="1:16" ht="24" customHeight="1">
      <c r="A37" s="112"/>
      <c r="B37" s="111"/>
      <c r="C37" s="121"/>
      <c r="D37" s="110"/>
      <c r="E37" s="120"/>
      <c r="F37" s="120"/>
      <c r="G37" s="120"/>
      <c r="H37" s="120"/>
      <c r="I37" s="120"/>
      <c r="J37" s="120"/>
      <c r="K37" s="120"/>
      <c r="L37" s="120"/>
      <c r="M37" s="120"/>
      <c r="N37" s="109"/>
      <c r="O37" s="120"/>
      <c r="P37" s="108"/>
    </row>
    <row r="38" spans="1:16" ht="36" customHeight="1">
      <c r="A38" s="112"/>
      <c r="B38" s="119" t="s">
        <v>113</v>
      </c>
      <c r="C38" s="118" t="e">
        <f ca="1">C7+C13+C24+C33</f>
        <v>#REF!</v>
      </c>
      <c r="D38" s="117" t="e">
        <f ca="1">D7+D13+D24+D33</f>
        <v>#REF!</v>
      </c>
      <c r="E38" s="115" t="e">
        <f ca="1">E7+E13+E24+E33</f>
        <v>#REF!</v>
      </c>
      <c r="F38" s="115" t="e">
        <f ca="1">F7+F13+F24+F33</f>
        <v>#REF!</v>
      </c>
      <c r="G38" s="115" t="e">
        <f ca="1">G7+G13+G24+G33</f>
        <v>#REF!</v>
      </c>
      <c r="H38" s="116" t="e">
        <f ca="1">H7+H13+H24+H33</f>
        <v>#REF!</v>
      </c>
      <c r="I38" s="115" t="e">
        <f ca="1">I7+I13+I24+I33</f>
        <v>#REF!</v>
      </c>
      <c r="J38" s="115" t="e">
        <f ca="1">J7+J13+J24+J33</f>
        <v>#REF!</v>
      </c>
      <c r="K38" s="115" t="e">
        <f ca="1">K7+K13+K24+K33</f>
        <v>#REF!</v>
      </c>
      <c r="L38" s="115" t="e">
        <f ca="1">L7+L13+L24+L33</f>
        <v>#REF!</v>
      </c>
      <c r="M38" s="115" t="e">
        <f ca="1">M7+M13+M24+M33</f>
        <v>#REF!</v>
      </c>
      <c r="N38" s="114" t="e">
        <f ca="1">N7+N13+N24+N33</f>
        <v>#REF!</v>
      </c>
      <c r="O38" s="113" t="e">
        <f ca="1">O7+O13+O24+O33</f>
        <v>#REF!</v>
      </c>
      <c r="P38" s="108"/>
    </row>
    <row r="39" spans="1:16" ht="24" customHeight="1">
      <c r="A39" s="112"/>
      <c r="B39" s="111"/>
      <c r="C39" s="109"/>
      <c r="D39" s="110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8"/>
    </row>
  </sheetData>
  <phoneticPr fontId="56" type="noConversion"/>
  <conditionalFormatting sqref="B7:O7 B10:O13 B15:O24 B26:O33 B35:O37">
    <cfRule type="cellIs" dxfId="16" priority="5" operator="lessThan">
      <formula>0</formula>
    </cfRule>
  </conditionalFormatting>
  <conditionalFormatting sqref="B38:O38">
    <cfRule type="cellIs" dxfId="15" priority="1" operator="lessThan">
      <formula>0</formula>
    </cfRule>
  </conditionalFormatting>
  <conditionalFormatting sqref="C13:O13">
    <cfRule type="cellIs" dxfId="14" priority="4" operator="lessThan">
      <formula>0</formula>
    </cfRule>
  </conditionalFormatting>
  <conditionalFormatting sqref="C24:O24">
    <cfRule type="cellIs" dxfId="13" priority="3" operator="lessThan">
      <formula>0</formula>
    </cfRule>
  </conditionalFormatting>
  <conditionalFormatting sqref="C33:O33">
    <cfRule type="cellIs" dxfId="12" priority="2" operator="lessThan">
      <formula>0</formula>
    </cfRule>
  </conditionalFormatting>
  <dataValidations count="1">
    <dataValidation allowBlank="1" showInputMessage="1" showErrorMessage="1" prompt="Data for this tab is auto calculated from the planned expenses tab and actual expenses tab._x000a__x000a_When adding or editing line items, make sure you apply the changes in all four data tabs." sqref="A1" xr:uid="{00000000-0002-0000-0200-000000000000}"/>
  </dataValidations>
  <printOptions horizontalCentered="1"/>
  <pageMargins left="0.3" right="0.3" top="0.5" bottom="0.5" header="0.3" footer="0.3"/>
  <pageSetup scale="61" orientation="landscape" r:id="rId1"/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726F-7172-47A0-8163-43FA346D8841}">
  <sheetPr codeName="Sheet3"/>
  <dimension ref="A1:I14"/>
  <sheetViews>
    <sheetView showGridLines="0" zoomScaleNormal="100" zoomScaleSheetLayoutView="100" workbookViewId="0">
      <selection activeCell="C3" sqref="C3"/>
    </sheetView>
  </sheetViews>
  <sheetFormatPr defaultColWidth="8.77734375" defaultRowHeight="14.4"/>
  <cols>
    <col min="1" max="1" width="4" style="12" customWidth="1"/>
    <col min="2" max="2" width="9.109375" style="12" customWidth="1"/>
    <col min="3" max="3" width="28.6640625" style="13" customWidth="1"/>
    <col min="4" max="4" width="3.33203125" style="13" customWidth="1"/>
    <col min="5" max="5" width="28.6640625" style="13" customWidth="1"/>
    <col min="6" max="6" width="3.33203125" style="13" customWidth="1"/>
    <col min="7" max="7" width="28.6640625" style="13" customWidth="1"/>
    <col min="8" max="8" width="3.33203125" style="13" customWidth="1"/>
    <col min="9" max="9" width="28.6640625" style="13" customWidth="1"/>
    <col min="10" max="16384" width="8.77734375" style="12"/>
  </cols>
  <sheetData>
    <row r="1" spans="1:9" ht="24" customHeight="1">
      <c r="A1" s="24"/>
    </row>
    <row r="2" spans="1:9" ht="48" customHeight="1">
      <c r="B2" s="22"/>
      <c r="C2" s="170" t="s">
        <v>46</v>
      </c>
      <c r="D2" s="170"/>
      <c r="E2" s="170"/>
      <c r="F2" s="170"/>
      <c r="G2" s="170"/>
      <c r="H2" s="170"/>
      <c r="I2" s="170"/>
    </row>
    <row r="3" spans="1:9" ht="19.95" customHeight="1">
      <c r="B3" s="22"/>
      <c r="C3" s="23"/>
      <c r="D3" s="23"/>
      <c r="E3" s="23"/>
      <c r="F3" s="23"/>
      <c r="G3" s="23"/>
      <c r="H3" s="23"/>
      <c r="I3" s="23"/>
    </row>
    <row r="4" spans="1:9" ht="49.95" customHeight="1">
      <c r="B4" s="22"/>
      <c r="C4" s="21" t="s">
        <v>47</v>
      </c>
      <c r="D4" s="21"/>
      <c r="E4" s="21" t="s">
        <v>48</v>
      </c>
      <c r="F4" s="21"/>
      <c r="G4" s="21" t="s">
        <v>49</v>
      </c>
      <c r="H4" s="21"/>
      <c r="I4" s="21" t="s">
        <v>50</v>
      </c>
    </row>
    <row r="5" spans="1:9" ht="178.05" customHeight="1">
      <c r="B5" s="20"/>
      <c r="C5" s="19"/>
      <c r="D5" s="19"/>
      <c r="E5" s="19"/>
      <c r="F5" s="19"/>
      <c r="G5" s="19"/>
      <c r="H5" s="19"/>
      <c r="I5" s="19"/>
    </row>
    <row r="6" spans="1:9" ht="60" customHeight="1">
      <c r="B6" s="18" t="s">
        <v>51</v>
      </c>
      <c r="C6" s="17" t="s">
        <v>52</v>
      </c>
      <c r="D6" s="16"/>
      <c r="E6" s="14"/>
      <c r="F6" s="15"/>
      <c r="G6" s="14"/>
      <c r="H6" s="15"/>
      <c r="I6" s="14"/>
    </row>
    <row r="7" spans="1:9" ht="60" customHeight="1">
      <c r="B7" s="18" t="s">
        <v>53</v>
      </c>
      <c r="C7" s="17" t="s">
        <v>54</v>
      </c>
      <c r="D7" s="16"/>
      <c r="E7" s="14"/>
      <c r="F7" s="15"/>
      <c r="G7" s="14"/>
      <c r="H7" s="15"/>
      <c r="I7" s="14"/>
    </row>
    <row r="8" spans="1:9" ht="60" customHeight="1">
      <c r="B8" s="18" t="s">
        <v>55</v>
      </c>
      <c r="C8" s="17" t="s">
        <v>56</v>
      </c>
      <c r="D8" s="16"/>
      <c r="E8" s="14"/>
      <c r="F8" s="15"/>
      <c r="G8" s="14"/>
      <c r="H8" s="15"/>
      <c r="I8" s="14"/>
    </row>
    <row r="9" spans="1:9" ht="60" customHeight="1">
      <c r="B9" s="18" t="s">
        <v>57</v>
      </c>
      <c r="C9" s="17"/>
      <c r="D9" s="16"/>
      <c r="E9" s="14"/>
      <c r="F9" s="15"/>
      <c r="G9" s="14"/>
      <c r="H9" s="15"/>
      <c r="I9" s="14"/>
    </row>
    <row r="10" spans="1:9" ht="60" customHeight="1">
      <c r="B10" s="18" t="s">
        <v>55</v>
      </c>
      <c r="C10" s="17"/>
      <c r="D10" s="16"/>
      <c r="E10" s="14"/>
      <c r="F10" s="15"/>
      <c r="G10" s="14"/>
      <c r="H10" s="15"/>
      <c r="I10" s="14"/>
    </row>
    <row r="11" spans="1:9" ht="60" customHeight="1">
      <c r="B11" s="18" t="s">
        <v>58</v>
      </c>
      <c r="C11" s="17"/>
      <c r="D11" s="16"/>
      <c r="E11" s="14"/>
      <c r="F11" s="15"/>
      <c r="G11" s="14"/>
      <c r="H11" s="15"/>
      <c r="I11" s="14"/>
    </row>
    <row r="12" spans="1:9" ht="60" customHeight="1">
      <c r="B12" s="18" t="s">
        <v>51</v>
      </c>
      <c r="C12" s="17"/>
      <c r="D12" s="16"/>
      <c r="E12" s="14"/>
      <c r="F12" s="15"/>
      <c r="G12" s="14"/>
      <c r="H12" s="15"/>
      <c r="I12" s="14"/>
    </row>
    <row r="13" spans="1:9" ht="52.95" customHeight="1"/>
    <row r="14" spans="1:9" ht="52.95" customHeight="1"/>
  </sheetData>
  <mergeCells count="1">
    <mergeCell ref="C2:I2"/>
  </mergeCells>
  <dataValidations count="1">
    <dataValidation allowBlank="1" showInputMessage="1" showErrorMessage="1" promptTitle="Weekly Meal Planner" prompt="_x000a_Enter your meal plans for Breakfast, Lunch, Dinner, and Snacks for each day of the week." sqref="A1" xr:uid="{89091209-2143-4E48-B3D9-181FC42A1597}"/>
  </dataValidations>
  <pageMargins left="0.25" right="0.25" top="0.75" bottom="0.75" header="0.3" footer="0.3"/>
  <pageSetup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9222-7858-4CD1-8DCC-39EC1144BAC4}">
  <sheetPr>
    <tabColor theme="4"/>
    <pageSetUpPr fitToPage="1"/>
  </sheetPr>
  <dimension ref="A1:M30"/>
  <sheetViews>
    <sheetView showGridLines="0" zoomScaleNormal="100" workbookViewId="0">
      <selection activeCell="B8" sqref="B8"/>
    </sheetView>
  </sheetViews>
  <sheetFormatPr defaultColWidth="9.5546875" defaultRowHeight="21" customHeight="1"/>
  <cols>
    <col min="1" max="1" width="3.44140625" style="65" customWidth="1"/>
    <col min="2" max="2" width="13.44140625" style="66" customWidth="1"/>
    <col min="3" max="3" width="38.44140625" style="66" customWidth="1"/>
    <col min="4" max="5" width="23.44140625" style="66" customWidth="1"/>
    <col min="6" max="6" width="13.44140625" style="66" customWidth="1"/>
    <col min="7" max="7" width="16" style="66" customWidth="1"/>
    <col min="8" max="8" width="23.44140625" style="66" customWidth="1"/>
    <col min="9" max="9" width="16" style="66" customWidth="1"/>
    <col min="10" max="10" width="38.44140625" style="66" customWidth="1"/>
    <col min="11" max="11" width="3.44140625" style="66" customWidth="1"/>
    <col min="12" max="12" width="32.21875" style="67" customWidth="1"/>
    <col min="13" max="13" width="3.44140625" style="28" customWidth="1"/>
    <col min="14" max="14" width="3.44140625" style="29" customWidth="1"/>
    <col min="15" max="16384" width="9.5546875" style="29"/>
  </cols>
  <sheetData>
    <row r="1" spans="1:13" ht="19.95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7" t="str">
        <f>[1]calculations!M9</f>
        <v>DAIRY TOTAL</v>
      </c>
      <c r="M1" s="28" t="s">
        <v>59</v>
      </c>
    </row>
    <row r="2" spans="1:13" ht="169.95" customHeight="1">
      <c r="A2" s="25"/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3" s="32" customFormat="1" ht="70.2" customHeight="1">
      <c r="B3" s="33" t="s">
        <v>60</v>
      </c>
      <c r="C3" s="34"/>
      <c r="D3" s="35"/>
      <c r="E3" s="35"/>
      <c r="F3" s="35"/>
      <c r="G3" s="35"/>
      <c r="H3" s="35"/>
      <c r="I3" s="35"/>
      <c r="J3" s="35"/>
      <c r="K3" s="35"/>
      <c r="L3" s="36"/>
      <c r="M3" s="37"/>
    </row>
    <row r="4" spans="1:13" s="43" customFormat="1" ht="30" customHeight="1">
      <c r="A4" s="38"/>
      <c r="B4" s="39" t="s">
        <v>61</v>
      </c>
      <c r="C4" s="39" t="s">
        <v>62</v>
      </c>
      <c r="D4" s="39" t="s">
        <v>63</v>
      </c>
      <c r="E4" s="39" t="s">
        <v>64</v>
      </c>
      <c r="F4" s="39" t="s">
        <v>65</v>
      </c>
      <c r="G4" s="39" t="s">
        <v>66</v>
      </c>
      <c r="H4" s="39" t="s">
        <v>67</v>
      </c>
      <c r="I4" s="39" t="s">
        <v>68</v>
      </c>
      <c r="J4" s="39" t="s">
        <v>69</v>
      </c>
      <c r="K4" s="40"/>
      <c r="L4" s="41" t="str">
        <f>[1]calculations!M6</f>
        <v>SEAFOOD TOTAL</v>
      </c>
      <c r="M4" s="42"/>
    </row>
    <row r="5" spans="1:13" s="43" customFormat="1" ht="30" customHeight="1">
      <c r="A5" s="38"/>
      <c r="B5" s="44">
        <v>1</v>
      </c>
      <c r="C5" s="45" t="s">
        <v>70</v>
      </c>
      <c r="D5" s="46" t="s">
        <v>71</v>
      </c>
      <c r="E5" s="46" t="s">
        <v>72</v>
      </c>
      <c r="F5" s="46">
        <v>2</v>
      </c>
      <c r="G5" s="46" t="s">
        <v>73</v>
      </c>
      <c r="H5" s="47">
        <v>2.99</v>
      </c>
      <c r="I5" s="48">
        <f>IFERROR(List[[#This Row],[QTY]]*List[[#This Row],[UNIT PRICE]],"")</f>
        <v>5.98</v>
      </c>
      <c r="J5" s="49"/>
      <c r="K5" s="40"/>
      <c r="L5" s="50">
        <f>[1]calculations!L6</f>
        <v>109</v>
      </c>
      <c r="M5" s="51"/>
    </row>
    <row r="6" spans="1:13" s="43" customFormat="1" ht="30" customHeight="1">
      <c r="A6" s="38"/>
      <c r="B6" s="44">
        <v>1</v>
      </c>
      <c r="C6" s="45" t="s">
        <v>74</v>
      </c>
      <c r="D6" s="46" t="s">
        <v>75</v>
      </c>
      <c r="E6" s="46" t="s">
        <v>72</v>
      </c>
      <c r="F6" s="46">
        <v>3</v>
      </c>
      <c r="G6" s="46" t="s">
        <v>73</v>
      </c>
      <c r="H6" s="47">
        <v>1.99</v>
      </c>
      <c r="I6" s="48">
        <f>IFERROR(List[[#This Row],[QTY]]*List[[#This Row],[UNIT PRICE]],"")</f>
        <v>5.97</v>
      </c>
      <c r="J6" s="49" t="s">
        <v>76</v>
      </c>
      <c r="K6" s="40"/>
      <c r="L6" s="52"/>
      <c r="M6" s="42"/>
    </row>
    <row r="7" spans="1:13" s="43" customFormat="1" ht="30" customHeight="1">
      <c r="A7" s="38"/>
      <c r="B7" s="44"/>
      <c r="C7" s="45" t="s">
        <v>77</v>
      </c>
      <c r="D7" s="46" t="s">
        <v>71</v>
      </c>
      <c r="E7" s="46" t="s">
        <v>72</v>
      </c>
      <c r="F7" s="46">
        <v>1</v>
      </c>
      <c r="G7" s="46" t="s">
        <v>78</v>
      </c>
      <c r="H7" s="47">
        <v>3.99</v>
      </c>
      <c r="I7" s="48">
        <f>IFERROR(List[[#This Row],[QTY]]*List[[#This Row],[UNIT PRICE]],"")</f>
        <v>3.99</v>
      </c>
      <c r="J7" s="49"/>
      <c r="K7" s="40"/>
      <c r="L7" s="53" t="str">
        <f>[1]calculations!M7</f>
        <v>MEAT TOTAL</v>
      </c>
      <c r="M7" s="42"/>
    </row>
    <row r="8" spans="1:13" s="43" customFormat="1" ht="30" customHeight="1">
      <c r="A8" s="38"/>
      <c r="B8" s="44"/>
      <c r="C8" s="45" t="s">
        <v>79</v>
      </c>
      <c r="D8" s="46" t="s">
        <v>80</v>
      </c>
      <c r="E8" s="46" t="s">
        <v>72</v>
      </c>
      <c r="F8" s="46">
        <v>2</v>
      </c>
      <c r="G8" s="46" t="s">
        <v>81</v>
      </c>
      <c r="H8" s="47">
        <v>2.29</v>
      </c>
      <c r="I8" s="48">
        <f>IFERROR(List[[#This Row],[QTY]]*List[[#This Row],[UNIT PRICE]],"")</f>
        <v>4.58</v>
      </c>
      <c r="J8" s="49"/>
      <c r="K8" s="40"/>
      <c r="L8" s="54">
        <f>[1]calculations!L7</f>
        <v>80</v>
      </c>
      <c r="M8" s="42"/>
    </row>
    <row r="9" spans="1:13" s="43" customFormat="1" ht="30" customHeight="1">
      <c r="A9" s="38"/>
      <c r="B9" s="44"/>
      <c r="C9" s="45" t="s">
        <v>82</v>
      </c>
      <c r="D9" s="46" t="s">
        <v>80</v>
      </c>
      <c r="E9" s="46" t="s">
        <v>72</v>
      </c>
      <c r="F9" s="46">
        <v>4</v>
      </c>
      <c r="G9" s="46" t="s">
        <v>73</v>
      </c>
      <c r="H9" s="47">
        <v>3.49</v>
      </c>
      <c r="I9" s="48">
        <f>IFERROR(List[[#This Row],[QTY]]*List[[#This Row],[UNIT PRICE]],"")</f>
        <v>13.96</v>
      </c>
      <c r="J9" s="49"/>
      <c r="K9" s="40"/>
      <c r="L9" s="52"/>
      <c r="M9" s="42"/>
    </row>
    <row r="10" spans="1:13" s="43" customFormat="1" ht="30" customHeight="1">
      <c r="A10" s="38"/>
      <c r="B10" s="44"/>
      <c r="C10" s="45" t="s">
        <v>83</v>
      </c>
      <c r="D10" s="46" t="s">
        <v>80</v>
      </c>
      <c r="E10" s="46" t="s">
        <v>72</v>
      </c>
      <c r="F10" s="46">
        <v>2</v>
      </c>
      <c r="G10" s="46" t="s">
        <v>84</v>
      </c>
      <c r="H10" s="47">
        <v>1.5</v>
      </c>
      <c r="I10" s="48">
        <f>IFERROR(List[[#This Row],[QTY]]*List[[#This Row],[UNIT PRICE]],"")</f>
        <v>3</v>
      </c>
      <c r="J10" s="49"/>
      <c r="K10" s="40"/>
      <c r="L10" s="55" t="str">
        <f>[1]calculations!M8</f>
        <v>PRODUCE TOTAL</v>
      </c>
      <c r="M10" s="42"/>
    </row>
    <row r="11" spans="1:13" s="43" customFormat="1" ht="30" customHeight="1">
      <c r="A11" s="38"/>
      <c r="B11" s="44"/>
      <c r="C11" s="45" t="s">
        <v>85</v>
      </c>
      <c r="D11" s="46" t="s">
        <v>71</v>
      </c>
      <c r="E11" s="46" t="s">
        <v>72</v>
      </c>
      <c r="F11" s="46">
        <v>2</v>
      </c>
      <c r="G11" s="46" t="s">
        <v>78</v>
      </c>
      <c r="H11" s="47">
        <v>1.99</v>
      </c>
      <c r="I11" s="48">
        <f>IFERROR(List[[#This Row],[QTY]]*List[[#This Row],[UNIT PRICE]],"")</f>
        <v>3.98</v>
      </c>
      <c r="J11" s="49"/>
      <c r="K11" s="40"/>
      <c r="L11" s="56">
        <f>[1]calculations!L8</f>
        <v>45</v>
      </c>
      <c r="M11" s="42"/>
    </row>
    <row r="12" spans="1:13" s="43" customFormat="1" ht="30" customHeight="1">
      <c r="A12" s="38"/>
      <c r="B12" s="44"/>
      <c r="C12" s="45" t="s">
        <v>86</v>
      </c>
      <c r="D12" s="46" t="s">
        <v>80</v>
      </c>
      <c r="E12" s="46" t="s">
        <v>72</v>
      </c>
      <c r="F12" s="46">
        <v>1</v>
      </c>
      <c r="G12" s="46" t="s">
        <v>73</v>
      </c>
      <c r="H12" s="47">
        <v>2.29</v>
      </c>
      <c r="I12" s="48">
        <f>IFERROR(List[[#This Row],[QTY]]*List[[#This Row],[UNIT PRICE]],"")</f>
        <v>2.29</v>
      </c>
      <c r="J12" s="49"/>
      <c r="K12" s="40"/>
      <c r="L12" s="52"/>
      <c r="M12" s="42"/>
    </row>
    <row r="13" spans="1:13" s="43" customFormat="1" ht="30" customHeight="1">
      <c r="A13" s="38"/>
      <c r="B13" s="44"/>
      <c r="C13" s="45" t="s">
        <v>87</v>
      </c>
      <c r="D13" s="46" t="s">
        <v>71</v>
      </c>
      <c r="E13" s="46" t="s">
        <v>72</v>
      </c>
      <c r="F13" s="46">
        <v>0.5</v>
      </c>
      <c r="G13" s="46" t="s">
        <v>73</v>
      </c>
      <c r="H13" s="47">
        <v>2.25</v>
      </c>
      <c r="I13" s="48">
        <f>IFERROR(List[[#This Row],[QTY]]*List[[#This Row],[UNIT PRICE]],"")</f>
        <v>1.125</v>
      </c>
      <c r="J13" s="49" t="s">
        <v>88</v>
      </c>
      <c r="K13" s="40"/>
      <c r="L13" s="57" t="str">
        <f>[1]calculations!M9</f>
        <v>DAIRY TOTAL</v>
      </c>
      <c r="M13" s="42"/>
    </row>
    <row r="14" spans="1:13" s="43" customFormat="1" ht="30" customHeight="1">
      <c r="A14" s="38"/>
      <c r="B14" s="44"/>
      <c r="C14" s="45" t="s">
        <v>89</v>
      </c>
      <c r="D14" s="46" t="s">
        <v>90</v>
      </c>
      <c r="E14" s="46" t="s">
        <v>91</v>
      </c>
      <c r="F14" s="46">
        <v>2</v>
      </c>
      <c r="G14" s="46" t="s">
        <v>92</v>
      </c>
      <c r="H14" s="47">
        <v>3.99</v>
      </c>
      <c r="I14" s="48">
        <f>IFERROR(List[[#This Row],[QTY]]*List[[#This Row],[UNIT PRICE]],"")</f>
        <v>7.98</v>
      </c>
      <c r="J14" s="49"/>
      <c r="K14" s="40"/>
      <c r="L14" s="58">
        <f>[1]calculations!L9</f>
        <v>37</v>
      </c>
      <c r="M14" s="42"/>
    </row>
    <row r="15" spans="1:13" s="43" customFormat="1" ht="30" customHeight="1">
      <c r="A15" s="38"/>
      <c r="B15" s="44"/>
      <c r="C15" s="45" t="s">
        <v>93</v>
      </c>
      <c r="D15" s="46" t="s">
        <v>90</v>
      </c>
      <c r="E15" s="46" t="s">
        <v>91</v>
      </c>
      <c r="F15" s="46">
        <v>1</v>
      </c>
      <c r="G15" s="46" t="s">
        <v>73</v>
      </c>
      <c r="H15" s="47">
        <v>9.99</v>
      </c>
      <c r="I15" s="48">
        <f>IFERROR(List[[#This Row],[QTY]]*List[[#This Row],[UNIT PRICE]],"")</f>
        <v>9.99</v>
      </c>
      <c r="J15" s="49" t="s">
        <v>94</v>
      </c>
      <c r="K15" s="40"/>
      <c r="L15" s="52"/>
      <c r="M15" s="42"/>
    </row>
    <row r="16" spans="1:13" s="43" customFormat="1" ht="30" customHeight="1">
      <c r="A16" s="38"/>
      <c r="B16" s="44"/>
      <c r="C16" s="45" t="s">
        <v>95</v>
      </c>
      <c r="D16" s="46" t="s">
        <v>90</v>
      </c>
      <c r="E16" s="46" t="s">
        <v>91</v>
      </c>
      <c r="F16" s="46">
        <v>2</v>
      </c>
      <c r="G16" s="46" t="s">
        <v>96</v>
      </c>
      <c r="H16" s="47">
        <v>3.5</v>
      </c>
      <c r="I16" s="48">
        <f>IFERROR(List[[#This Row],[QTY]]*List[[#This Row],[UNIT PRICE]],"")</f>
        <v>7</v>
      </c>
      <c r="J16" s="49"/>
      <c r="K16" s="40"/>
      <c r="L16" s="59" t="str">
        <f>[1]calculations!M3</f>
        <v>OTHER TOTAL</v>
      </c>
      <c r="M16" s="42"/>
    </row>
    <row r="17" spans="1:13" s="43" customFormat="1" ht="30" customHeight="1">
      <c r="A17" s="38"/>
      <c r="B17" s="44"/>
      <c r="C17" s="45" t="s">
        <v>97</v>
      </c>
      <c r="D17" s="46" t="s">
        <v>90</v>
      </c>
      <c r="E17" s="46" t="s">
        <v>91</v>
      </c>
      <c r="F17" s="46">
        <v>1</v>
      </c>
      <c r="G17" s="46" t="s">
        <v>98</v>
      </c>
      <c r="H17" s="47">
        <v>3.89</v>
      </c>
      <c r="I17" s="48">
        <f>IFERROR(List[[#This Row],[QTY]]*List[[#This Row],[UNIT PRICE]],"")</f>
        <v>3.89</v>
      </c>
      <c r="J17" s="49"/>
      <c r="K17" s="40"/>
      <c r="L17" s="60">
        <f>[1]calculations!L3</f>
        <v>0</v>
      </c>
      <c r="M17" s="42"/>
    </row>
    <row r="18" spans="1:13" s="43" customFormat="1" ht="30" customHeight="1">
      <c r="A18" s="38"/>
      <c r="B18" s="44"/>
      <c r="C18" s="45" t="s">
        <v>99</v>
      </c>
      <c r="D18" s="46" t="s">
        <v>90</v>
      </c>
      <c r="E18" s="46" t="s">
        <v>91</v>
      </c>
      <c r="F18" s="46">
        <v>1</v>
      </c>
      <c r="G18" s="46" t="s">
        <v>100</v>
      </c>
      <c r="H18" s="47">
        <v>2.99</v>
      </c>
      <c r="I18" s="48">
        <f>IFERROR(List[[#This Row],[QTY]]*List[[#This Row],[UNIT PRICE]],"")</f>
        <v>2.99</v>
      </c>
      <c r="J18" s="49"/>
      <c r="K18" s="40"/>
      <c r="L18" s="52"/>
      <c r="M18" s="42"/>
    </row>
    <row r="19" spans="1:13" s="43" customFormat="1" ht="30" customHeight="1">
      <c r="A19" s="38"/>
      <c r="B19" s="44"/>
      <c r="C19" s="45" t="s">
        <v>101</v>
      </c>
      <c r="D19" s="46" t="s">
        <v>71</v>
      </c>
      <c r="E19" s="46" t="s">
        <v>91</v>
      </c>
      <c r="F19" s="46">
        <v>1</v>
      </c>
      <c r="G19" s="46" t="s">
        <v>98</v>
      </c>
      <c r="H19" s="47">
        <v>4.99</v>
      </c>
      <c r="I19" s="48">
        <f>IFERROR(List[[#This Row],[QTY]]*List[[#This Row],[UNIT PRICE]],"")</f>
        <v>4.99</v>
      </c>
      <c r="J19" s="49" t="s">
        <v>102</v>
      </c>
      <c r="K19" s="40"/>
      <c r="L19" s="61" t="str">
        <f>[1]calculations!M4</f>
        <v>GROCERY TOTAL</v>
      </c>
      <c r="M19" s="51"/>
    </row>
    <row r="20" spans="1:13" s="43" customFormat="1" ht="30" customHeight="1">
      <c r="A20" s="38"/>
      <c r="B20" s="44"/>
      <c r="C20" s="45" t="s">
        <v>103</v>
      </c>
      <c r="D20" s="46" t="s">
        <v>80</v>
      </c>
      <c r="E20" s="46" t="s">
        <v>104</v>
      </c>
      <c r="F20" s="46">
        <v>10</v>
      </c>
      <c r="G20" s="46" t="s">
        <v>73</v>
      </c>
      <c r="H20" s="47">
        <v>7.99</v>
      </c>
      <c r="I20" s="48">
        <f>IFERROR(List[[#This Row],[QTY]]*List[[#This Row],[UNIT PRICE]],"")</f>
        <v>79.900000000000006</v>
      </c>
      <c r="J20" s="49" t="s">
        <v>105</v>
      </c>
      <c r="K20" s="40"/>
      <c r="L20" s="62">
        <f>GroceryTotal</f>
        <v>271</v>
      </c>
      <c r="M20" s="51"/>
    </row>
    <row r="21" spans="1:13" s="43" customFormat="1" ht="30" customHeight="1">
      <c r="A21" s="38"/>
      <c r="B21" s="44"/>
      <c r="C21" s="45" t="s">
        <v>106</v>
      </c>
      <c r="D21" s="46" t="s">
        <v>107</v>
      </c>
      <c r="E21" s="46" t="s">
        <v>108</v>
      </c>
      <c r="F21" s="46">
        <v>6</v>
      </c>
      <c r="G21" s="46" t="s">
        <v>73</v>
      </c>
      <c r="H21" s="47">
        <v>8.99</v>
      </c>
      <c r="I21" s="48">
        <f>IFERROR(List[[#This Row],[QTY]]*List[[#This Row],[UNIT PRICE]],"")</f>
        <v>53.94</v>
      </c>
      <c r="J21" s="49"/>
      <c r="K21" s="40"/>
      <c r="L21" s="63"/>
      <c r="M21" s="64"/>
    </row>
    <row r="22" spans="1:13" s="43" customFormat="1" ht="30" customHeight="1">
      <c r="A22" s="38"/>
      <c r="B22" s="44"/>
      <c r="C22" s="45" t="s">
        <v>109</v>
      </c>
      <c r="D22" s="46" t="s">
        <v>107</v>
      </c>
      <c r="E22" s="46" t="s">
        <v>108</v>
      </c>
      <c r="F22" s="46">
        <v>5</v>
      </c>
      <c r="G22" s="46" t="s">
        <v>73</v>
      </c>
      <c r="H22" s="47">
        <v>10.99</v>
      </c>
      <c r="I22" s="48">
        <f>IFERROR(List[[#This Row],[QTY]]*List[[#This Row],[UNIT PRICE]],"")</f>
        <v>54.95</v>
      </c>
      <c r="J22" s="49"/>
      <c r="K22" s="40"/>
      <c r="L22" s="63"/>
      <c r="M22" s="64"/>
    </row>
    <row r="23" spans="1:13" s="43" customFormat="1" ht="30" customHeight="1">
      <c r="A23" s="3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63"/>
      <c r="M23" s="64"/>
    </row>
    <row r="24" spans="1:13" s="43" customFormat="1" ht="30" customHeight="1">
      <c r="A24" s="3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63"/>
      <c r="M24" s="64"/>
    </row>
    <row r="25" spans="1:13" s="43" customFormat="1" ht="30" customHeight="1">
      <c r="A25" s="38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63"/>
      <c r="M25" s="64"/>
    </row>
    <row r="26" spans="1:13" s="43" customFormat="1" ht="30" customHeight="1">
      <c r="A26" s="38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63"/>
      <c r="M26" s="64"/>
    </row>
    <row r="27" spans="1:13" s="43" customFormat="1" ht="30" customHeight="1">
      <c r="A27" s="38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63"/>
      <c r="M27" s="64"/>
    </row>
    <row r="28" spans="1:13" s="43" customFormat="1" ht="30" customHeight="1">
      <c r="A28" s="38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63"/>
      <c r="M28" s="64"/>
    </row>
    <row r="29" spans="1:13" s="43" customFormat="1" ht="30" customHeight="1">
      <c r="A29" s="38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63"/>
      <c r="M29" s="64"/>
    </row>
    <row r="30" spans="1:13" s="43" customFormat="1" ht="30" customHeight="1">
      <c r="A30" s="38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63"/>
      <c r="M30" s="64"/>
    </row>
  </sheetData>
  <dataValidations count="17">
    <dataValidation allowBlank="1" showInputMessage="1" showErrorMessage="1" prompt="Total for all grocery items is calculated in the cell below" sqref="L19" xr:uid="{1560E5A0-B360-4752-AA3C-6AD7D4566D51}"/>
    <dataValidation allowBlank="1" showInputMessage="1" showErrorMessage="1" prompt="Price subtotal for other items not included in the first four categories is automatically summed up in the cell below" sqref="L16" xr:uid="{133E1DF7-F2FB-47F8-AB48-A5CCC1393AAC}"/>
    <dataValidation allowBlank="1" showInputMessage="1" showErrorMessage="1" prompt="Category with the fourth highest price subtotal automatically appears here. Price subtotal is in below cell." sqref="L13" xr:uid="{1F1F2F5C-5D51-47D1-9246-E4F54660038B}"/>
    <dataValidation allowBlank="1" showInputMessage="1" showErrorMessage="1" prompt="Category with the third highest price subtotal automatically appears here. Price subtotal is in below cell." sqref="L10" xr:uid="{3FBACE7D-C13B-41DB-A85C-9C3238B6877E}"/>
    <dataValidation allowBlank="1" showInputMessage="1" showErrorMessage="1" prompt="Category with the second highest price subtotal automatically appears here. Price subtotal is in below cell." sqref="L7" xr:uid="{64DA1D9C-689A-4935-861C-B13E204A7820}"/>
    <dataValidation allowBlank="1" showInputMessage="1" showErrorMessage="1" prompt="Category with the highest price subtotal automatically appears here. Price subtotal is in below cell." sqref="L4" xr:uid="{9736D62E-4988-4432-B97E-54C3DA7AF5DA}"/>
    <dataValidation allowBlank="1" showInputMessage="1" showErrorMessage="1" prompt="Use this worksheet to create a grocery list. Enter grocery details in the table starting in cell B4. Category totals are automatically updated in column L._x000a__x000a_To insert or delete rows, please use the Insert Table Rows or Delete Table Rows function." sqref="A1" xr:uid="{F4BCBC69-6F25-4931-A96E-8B6B82766D5C}"/>
    <dataValidation allowBlank="1" showInputMessage="1" showErrorMessage="1" prompt="Title of this worksheet is in this cell" sqref="B3" xr:uid="{B139A64E-2460-4C17-AF23-AE505A5F5A38}"/>
    <dataValidation allowBlank="1" showInputMessage="1" showErrorMessage="1" prompt="Enter Comment in this column under this heading" sqref="J4" xr:uid="{9BEDCC1A-DDE9-45AB-BEC3-245B3EBB4C7D}"/>
    <dataValidation allowBlank="1" showInputMessage="1" showErrorMessage="1" prompt="Total is automatically calculated in this column under this heading" sqref="I4" xr:uid="{F6045F96-4DDC-4E54-8B8D-8589EFE83FAE}"/>
    <dataValidation allowBlank="1" showInputMessage="1" showErrorMessage="1" prompt="Enter Unit Price in this column under this heading" sqref="H4" xr:uid="{0A5DF4CD-552C-4799-81EA-645B10B7D49C}"/>
    <dataValidation allowBlank="1" showInputMessage="1" showErrorMessage="1" prompt="Enter Unit in this column under this heading" sqref="G4" xr:uid="{9BAC43BF-8971-471A-AE58-F3275D45D5A1}"/>
    <dataValidation allowBlank="1" showInputMessage="1" showErrorMessage="1" prompt="Enter Quantity in this column under this heading" sqref="F4" xr:uid="{50AC7B75-DBB0-4991-A161-D2A444090889}"/>
    <dataValidation allowBlank="1" showInputMessage="1" showErrorMessage="1" prompt="Enter Category in this column under this heading" sqref="E4" xr:uid="{1043475E-02EC-4D95-A790-CED2F4A2DBFF}"/>
    <dataValidation allowBlank="1" showInputMessage="1" showErrorMessage="1" prompt="Enter Store type in this column under this heading" sqref="D4" xr:uid="{06F916E6-480A-41B8-8B46-0D4094FA27E8}"/>
    <dataValidation allowBlank="1" showInputMessage="1" showErrorMessage="1" prompt="Enter Item in this column under this heading" sqref="C4" xr:uid="{5CF9C765-0DCC-43D0-A0AD-FD99BE0CFD13}"/>
    <dataValidation allowBlank="1" showInputMessage="1" showErrorMessage="1" prompt="Enter a number greater than 0 in this column under this heading to mark item as bought" sqref="B4" xr:uid="{05BB9882-2F4A-4EE9-B4FE-1CDBE242468E}"/>
  </dataValidations>
  <printOptions horizontalCentered="1"/>
  <pageMargins left="0.3" right="0.3" top="0.5" bottom="0.5" header="0.3" footer="0.3"/>
  <pageSetup scale="41" fitToHeight="0" orientation="portrait" r:id="rId1"/>
  <headerFooter differentFirst="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3BBFC62-D1C5-486F-8D46-03FDC6374971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B5:B22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F6B6-4A21-414D-856F-10F427150BB5}">
  <sheetPr>
    <tabColor theme="4"/>
    <pageSetUpPr fitToPage="1"/>
  </sheetPr>
  <dimension ref="A1:M30"/>
  <sheetViews>
    <sheetView showGridLines="0" topLeftCell="C1" zoomScaleNormal="100" workbookViewId="0">
      <selection activeCell="B8" sqref="B8"/>
    </sheetView>
  </sheetViews>
  <sheetFormatPr defaultColWidth="9.5546875" defaultRowHeight="21" customHeight="1"/>
  <cols>
    <col min="1" max="1" width="3.44140625" style="65" customWidth="1"/>
    <col min="2" max="2" width="13.44140625" style="66" customWidth="1"/>
    <col min="3" max="3" width="38.44140625" style="66" customWidth="1"/>
    <col min="4" max="5" width="23.44140625" style="66" customWidth="1"/>
    <col min="6" max="6" width="13.44140625" style="66" customWidth="1"/>
    <col min="7" max="7" width="16" style="66" customWidth="1"/>
    <col min="8" max="8" width="23.44140625" style="66" customWidth="1"/>
    <col min="9" max="9" width="16" style="66" customWidth="1"/>
    <col min="10" max="10" width="38.44140625" style="66" customWidth="1"/>
    <col min="11" max="11" width="3.44140625" style="66" customWidth="1"/>
    <col min="12" max="12" width="32.21875" style="67" customWidth="1"/>
    <col min="13" max="13" width="3.44140625" style="28" customWidth="1"/>
    <col min="14" max="14" width="3.44140625" style="29" customWidth="1"/>
    <col min="15" max="16384" width="9.5546875" style="29"/>
  </cols>
  <sheetData>
    <row r="1" spans="1:13" ht="19.95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7" t="str">
        <f>[1]calculations!M9</f>
        <v>DAIRY TOTAL</v>
      </c>
      <c r="M1" s="28" t="s">
        <v>59</v>
      </c>
    </row>
    <row r="2" spans="1:13" ht="169.95" customHeight="1">
      <c r="A2" s="25"/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3" s="32" customFormat="1" ht="70.2" customHeight="1">
      <c r="B3" s="33" t="s">
        <v>60</v>
      </c>
      <c r="C3" s="34"/>
      <c r="D3" s="35"/>
      <c r="E3" s="35"/>
      <c r="F3" s="35"/>
      <c r="G3" s="35"/>
      <c r="H3" s="35"/>
      <c r="I3" s="35"/>
      <c r="J3" s="35"/>
      <c r="K3" s="35"/>
      <c r="L3" s="36"/>
      <c r="M3" s="37"/>
    </row>
    <row r="4" spans="1:13" s="43" customFormat="1" ht="30" customHeight="1">
      <c r="A4" s="38"/>
      <c r="B4" s="39" t="s">
        <v>61</v>
      </c>
      <c r="C4" s="39" t="s">
        <v>62</v>
      </c>
      <c r="D4" s="39" t="s">
        <v>63</v>
      </c>
      <c r="E4" s="39" t="s">
        <v>64</v>
      </c>
      <c r="F4" s="39" t="s">
        <v>65</v>
      </c>
      <c r="G4" s="39" t="s">
        <v>66</v>
      </c>
      <c r="H4" s="39" t="s">
        <v>67</v>
      </c>
      <c r="I4" s="39" t="s">
        <v>68</v>
      </c>
      <c r="J4" s="39" t="s">
        <v>69</v>
      </c>
      <c r="K4" s="40"/>
      <c r="L4" s="41" t="str">
        <f>[1]calculations!M6</f>
        <v>SEAFOOD TOTAL</v>
      </c>
      <c r="M4" s="42"/>
    </row>
    <row r="5" spans="1:13" s="43" customFormat="1" ht="30" customHeight="1">
      <c r="A5" s="38"/>
      <c r="B5" s="44">
        <v>1</v>
      </c>
      <c r="C5" s="45" t="s">
        <v>70</v>
      </c>
      <c r="D5" s="46" t="s">
        <v>71</v>
      </c>
      <c r="E5" s="46" t="s">
        <v>72</v>
      </c>
      <c r="F5" s="46">
        <v>2</v>
      </c>
      <c r="G5" s="46" t="s">
        <v>73</v>
      </c>
      <c r="H5" s="47">
        <v>2.99</v>
      </c>
      <c r="I5" s="48">
        <f>IFERROR(List3[[#This Row],[QTY]]*List3[[#This Row],[UNIT PRICE]],"")</f>
        <v>5.98</v>
      </c>
      <c r="J5" s="49"/>
      <c r="K5" s="40"/>
      <c r="L5" s="50">
        <f>[1]calculations!L6</f>
        <v>109</v>
      </c>
      <c r="M5" s="51"/>
    </row>
    <row r="6" spans="1:13" s="43" customFormat="1" ht="30" customHeight="1">
      <c r="A6" s="38"/>
      <c r="B6" s="44">
        <v>1</v>
      </c>
      <c r="C6" s="45" t="s">
        <v>74</v>
      </c>
      <c r="D6" s="46" t="s">
        <v>75</v>
      </c>
      <c r="E6" s="46" t="s">
        <v>72</v>
      </c>
      <c r="F6" s="46">
        <v>3</v>
      </c>
      <c r="G6" s="46" t="s">
        <v>73</v>
      </c>
      <c r="H6" s="47">
        <v>1.99</v>
      </c>
      <c r="I6" s="48">
        <f>IFERROR(List3[[#This Row],[QTY]]*List3[[#This Row],[UNIT PRICE]],"")</f>
        <v>5.97</v>
      </c>
      <c r="J6" s="49" t="s">
        <v>76</v>
      </c>
      <c r="K6" s="40"/>
      <c r="L6" s="52"/>
      <c r="M6" s="42"/>
    </row>
    <row r="7" spans="1:13" s="43" customFormat="1" ht="30" customHeight="1">
      <c r="A7" s="38"/>
      <c r="B7" s="44"/>
      <c r="C7" s="45" t="s">
        <v>77</v>
      </c>
      <c r="D7" s="46" t="s">
        <v>71</v>
      </c>
      <c r="E7" s="46" t="s">
        <v>72</v>
      </c>
      <c r="F7" s="46">
        <v>1</v>
      </c>
      <c r="G7" s="46" t="s">
        <v>78</v>
      </c>
      <c r="H7" s="47">
        <v>3.99</v>
      </c>
      <c r="I7" s="48">
        <f>IFERROR(List3[[#This Row],[QTY]]*List3[[#This Row],[UNIT PRICE]],"")</f>
        <v>3.99</v>
      </c>
      <c r="J7" s="49"/>
      <c r="K7" s="40"/>
      <c r="L7" s="53" t="str">
        <f>[1]calculations!M7</f>
        <v>MEAT TOTAL</v>
      </c>
      <c r="M7" s="42"/>
    </row>
    <row r="8" spans="1:13" s="43" customFormat="1" ht="30" customHeight="1">
      <c r="A8" s="38"/>
      <c r="B8" s="44"/>
      <c r="C8" s="45" t="s">
        <v>79</v>
      </c>
      <c r="D8" s="46" t="s">
        <v>80</v>
      </c>
      <c r="E8" s="46" t="s">
        <v>72</v>
      </c>
      <c r="F8" s="46">
        <v>2</v>
      </c>
      <c r="G8" s="46" t="s">
        <v>81</v>
      </c>
      <c r="H8" s="47">
        <v>2.29</v>
      </c>
      <c r="I8" s="48">
        <f>IFERROR(List3[[#This Row],[QTY]]*List3[[#This Row],[UNIT PRICE]],"")</f>
        <v>4.58</v>
      </c>
      <c r="J8" s="49"/>
      <c r="K8" s="40"/>
      <c r="L8" s="54">
        <f>[1]calculations!L7</f>
        <v>80</v>
      </c>
      <c r="M8" s="42"/>
    </row>
    <row r="9" spans="1:13" s="43" customFormat="1" ht="30" customHeight="1">
      <c r="A9" s="38"/>
      <c r="B9" s="44"/>
      <c r="C9" s="45" t="s">
        <v>82</v>
      </c>
      <c r="D9" s="46" t="s">
        <v>80</v>
      </c>
      <c r="E9" s="46" t="s">
        <v>72</v>
      </c>
      <c r="F9" s="46">
        <v>4</v>
      </c>
      <c r="G9" s="46" t="s">
        <v>73</v>
      </c>
      <c r="H9" s="47">
        <v>3.49</v>
      </c>
      <c r="I9" s="48">
        <f>IFERROR(List3[[#This Row],[QTY]]*List3[[#This Row],[UNIT PRICE]],"")</f>
        <v>13.96</v>
      </c>
      <c r="J9" s="49"/>
      <c r="K9" s="40"/>
      <c r="L9" s="52"/>
      <c r="M9" s="42"/>
    </row>
    <row r="10" spans="1:13" s="43" customFormat="1" ht="30" customHeight="1">
      <c r="A10" s="38"/>
      <c r="B10" s="44"/>
      <c r="C10" s="45" t="s">
        <v>83</v>
      </c>
      <c r="D10" s="46" t="s">
        <v>80</v>
      </c>
      <c r="E10" s="46" t="s">
        <v>72</v>
      </c>
      <c r="F10" s="46">
        <v>2</v>
      </c>
      <c r="G10" s="46" t="s">
        <v>84</v>
      </c>
      <c r="H10" s="47">
        <v>1.5</v>
      </c>
      <c r="I10" s="48">
        <f>IFERROR(List3[[#This Row],[QTY]]*List3[[#This Row],[UNIT PRICE]],"")</f>
        <v>3</v>
      </c>
      <c r="J10" s="49"/>
      <c r="K10" s="40"/>
      <c r="L10" s="55" t="str">
        <f>[1]calculations!M8</f>
        <v>PRODUCE TOTAL</v>
      </c>
      <c r="M10" s="42"/>
    </row>
    <row r="11" spans="1:13" s="43" customFormat="1" ht="30" customHeight="1">
      <c r="A11" s="38"/>
      <c r="B11" s="44"/>
      <c r="C11" s="45" t="s">
        <v>85</v>
      </c>
      <c r="D11" s="46" t="s">
        <v>71</v>
      </c>
      <c r="E11" s="46" t="s">
        <v>72</v>
      </c>
      <c r="F11" s="46">
        <v>2</v>
      </c>
      <c r="G11" s="46" t="s">
        <v>78</v>
      </c>
      <c r="H11" s="47">
        <v>1.99</v>
      </c>
      <c r="I11" s="48">
        <f>IFERROR(List3[[#This Row],[QTY]]*List3[[#This Row],[UNIT PRICE]],"")</f>
        <v>3.98</v>
      </c>
      <c r="J11" s="49"/>
      <c r="K11" s="40"/>
      <c r="L11" s="56">
        <f>[1]calculations!L8</f>
        <v>45</v>
      </c>
      <c r="M11" s="42"/>
    </row>
    <row r="12" spans="1:13" s="43" customFormat="1" ht="30" customHeight="1">
      <c r="A12" s="38"/>
      <c r="B12" s="44"/>
      <c r="C12" s="45" t="s">
        <v>86</v>
      </c>
      <c r="D12" s="46" t="s">
        <v>80</v>
      </c>
      <c r="E12" s="46" t="s">
        <v>72</v>
      </c>
      <c r="F12" s="46">
        <v>1</v>
      </c>
      <c r="G12" s="46" t="s">
        <v>73</v>
      </c>
      <c r="H12" s="47">
        <v>2.29</v>
      </c>
      <c r="I12" s="48">
        <f>IFERROR(List3[[#This Row],[QTY]]*List3[[#This Row],[UNIT PRICE]],"")</f>
        <v>2.29</v>
      </c>
      <c r="J12" s="49"/>
      <c r="K12" s="40"/>
      <c r="L12" s="52"/>
      <c r="M12" s="42"/>
    </row>
    <row r="13" spans="1:13" s="43" customFormat="1" ht="30" customHeight="1">
      <c r="A13" s="38"/>
      <c r="B13" s="44"/>
      <c r="C13" s="45" t="s">
        <v>87</v>
      </c>
      <c r="D13" s="46" t="s">
        <v>71</v>
      </c>
      <c r="E13" s="46" t="s">
        <v>72</v>
      </c>
      <c r="F13" s="46">
        <v>0.5</v>
      </c>
      <c r="G13" s="46" t="s">
        <v>73</v>
      </c>
      <c r="H13" s="47">
        <v>2.25</v>
      </c>
      <c r="I13" s="48">
        <f>IFERROR(List3[[#This Row],[QTY]]*List3[[#This Row],[UNIT PRICE]],"")</f>
        <v>1.125</v>
      </c>
      <c r="J13" s="49" t="s">
        <v>88</v>
      </c>
      <c r="K13" s="40"/>
      <c r="L13" s="57" t="str">
        <f>[1]calculations!M9</f>
        <v>DAIRY TOTAL</v>
      </c>
      <c r="M13" s="42"/>
    </row>
    <row r="14" spans="1:13" s="43" customFormat="1" ht="30" customHeight="1">
      <c r="A14" s="38"/>
      <c r="B14" s="44"/>
      <c r="C14" s="45" t="s">
        <v>89</v>
      </c>
      <c r="D14" s="46" t="s">
        <v>90</v>
      </c>
      <c r="E14" s="46" t="s">
        <v>91</v>
      </c>
      <c r="F14" s="46">
        <v>2</v>
      </c>
      <c r="G14" s="46" t="s">
        <v>92</v>
      </c>
      <c r="H14" s="47">
        <v>3.99</v>
      </c>
      <c r="I14" s="48">
        <f>IFERROR(List3[[#This Row],[QTY]]*List3[[#This Row],[UNIT PRICE]],"")</f>
        <v>7.98</v>
      </c>
      <c r="J14" s="49"/>
      <c r="K14" s="40"/>
      <c r="L14" s="58">
        <f>[1]calculations!L9</f>
        <v>37</v>
      </c>
      <c r="M14" s="42"/>
    </row>
    <row r="15" spans="1:13" s="43" customFormat="1" ht="30" customHeight="1">
      <c r="A15" s="38"/>
      <c r="B15" s="44"/>
      <c r="C15" s="45" t="s">
        <v>93</v>
      </c>
      <c r="D15" s="46" t="s">
        <v>90</v>
      </c>
      <c r="E15" s="46" t="s">
        <v>91</v>
      </c>
      <c r="F15" s="46">
        <v>1</v>
      </c>
      <c r="G15" s="46" t="s">
        <v>73</v>
      </c>
      <c r="H15" s="47">
        <v>9.99</v>
      </c>
      <c r="I15" s="48">
        <f>IFERROR(List3[[#This Row],[QTY]]*List3[[#This Row],[UNIT PRICE]],"")</f>
        <v>9.99</v>
      </c>
      <c r="J15" s="49" t="s">
        <v>94</v>
      </c>
      <c r="K15" s="40"/>
      <c r="L15" s="52"/>
      <c r="M15" s="42"/>
    </row>
    <row r="16" spans="1:13" s="43" customFormat="1" ht="30" customHeight="1">
      <c r="A16" s="38"/>
      <c r="B16" s="44"/>
      <c r="C16" s="45" t="s">
        <v>95</v>
      </c>
      <c r="D16" s="46" t="s">
        <v>90</v>
      </c>
      <c r="E16" s="46" t="s">
        <v>91</v>
      </c>
      <c r="F16" s="46">
        <v>2</v>
      </c>
      <c r="G16" s="46" t="s">
        <v>96</v>
      </c>
      <c r="H16" s="47">
        <v>3.5</v>
      </c>
      <c r="I16" s="48">
        <f>IFERROR(List3[[#This Row],[QTY]]*List3[[#This Row],[UNIT PRICE]],"")</f>
        <v>7</v>
      </c>
      <c r="J16" s="49"/>
      <c r="K16" s="40"/>
      <c r="L16" s="59" t="str">
        <f>[1]calculations!M3</f>
        <v>OTHER TOTAL</v>
      </c>
      <c r="M16" s="42"/>
    </row>
    <row r="17" spans="1:13" s="43" customFormat="1" ht="30" customHeight="1">
      <c r="A17" s="38"/>
      <c r="B17" s="44"/>
      <c r="C17" s="45" t="s">
        <v>97</v>
      </c>
      <c r="D17" s="46" t="s">
        <v>90</v>
      </c>
      <c r="E17" s="46" t="s">
        <v>91</v>
      </c>
      <c r="F17" s="46">
        <v>1</v>
      </c>
      <c r="G17" s="46" t="s">
        <v>98</v>
      </c>
      <c r="H17" s="47">
        <v>3.89</v>
      </c>
      <c r="I17" s="48">
        <f>IFERROR(List3[[#This Row],[QTY]]*List3[[#This Row],[UNIT PRICE]],"")</f>
        <v>3.89</v>
      </c>
      <c r="J17" s="49"/>
      <c r="K17" s="40"/>
      <c r="L17" s="60">
        <f>[1]calculations!L3</f>
        <v>0</v>
      </c>
      <c r="M17" s="42"/>
    </row>
    <row r="18" spans="1:13" s="43" customFormat="1" ht="30" customHeight="1">
      <c r="A18" s="38"/>
      <c r="B18" s="44"/>
      <c r="C18" s="45" t="s">
        <v>99</v>
      </c>
      <c r="D18" s="46" t="s">
        <v>90</v>
      </c>
      <c r="E18" s="46" t="s">
        <v>91</v>
      </c>
      <c r="F18" s="46">
        <v>1</v>
      </c>
      <c r="G18" s="46" t="s">
        <v>100</v>
      </c>
      <c r="H18" s="47">
        <v>2.99</v>
      </c>
      <c r="I18" s="48">
        <f>IFERROR(List3[[#This Row],[QTY]]*List3[[#This Row],[UNIT PRICE]],"")</f>
        <v>2.99</v>
      </c>
      <c r="J18" s="49"/>
      <c r="K18" s="40"/>
      <c r="L18" s="52"/>
      <c r="M18" s="42"/>
    </row>
    <row r="19" spans="1:13" s="43" customFormat="1" ht="30" customHeight="1">
      <c r="A19" s="38"/>
      <c r="B19" s="44"/>
      <c r="C19" s="45" t="s">
        <v>101</v>
      </c>
      <c r="D19" s="46" t="s">
        <v>71</v>
      </c>
      <c r="E19" s="46" t="s">
        <v>91</v>
      </c>
      <c r="F19" s="46">
        <v>1</v>
      </c>
      <c r="G19" s="46" t="s">
        <v>98</v>
      </c>
      <c r="H19" s="47">
        <v>4.99</v>
      </c>
      <c r="I19" s="48">
        <f>IFERROR(List3[[#This Row],[QTY]]*List3[[#This Row],[UNIT PRICE]],"")</f>
        <v>4.99</v>
      </c>
      <c r="J19" s="49" t="s">
        <v>102</v>
      </c>
      <c r="K19" s="40"/>
      <c r="L19" s="61" t="str">
        <f>[1]calculations!M4</f>
        <v>GROCERY TOTAL</v>
      </c>
      <c r="M19" s="51"/>
    </row>
    <row r="20" spans="1:13" s="43" customFormat="1" ht="30" customHeight="1">
      <c r="A20" s="38"/>
      <c r="B20" s="44"/>
      <c r="C20" s="45" t="s">
        <v>103</v>
      </c>
      <c r="D20" s="46" t="s">
        <v>80</v>
      </c>
      <c r="E20" s="46" t="s">
        <v>104</v>
      </c>
      <c r="F20" s="46">
        <v>10</v>
      </c>
      <c r="G20" s="46" t="s">
        <v>73</v>
      </c>
      <c r="H20" s="47">
        <v>7.99</v>
      </c>
      <c r="I20" s="48">
        <f>IFERROR(List3[[#This Row],[QTY]]*List3[[#This Row],[UNIT PRICE]],"")</f>
        <v>79.900000000000006</v>
      </c>
      <c r="J20" s="49" t="s">
        <v>105</v>
      </c>
      <c r="K20" s="40"/>
      <c r="L20" s="62">
        <f>GroceryTotal</f>
        <v>271</v>
      </c>
      <c r="M20" s="51"/>
    </row>
    <row r="21" spans="1:13" s="43" customFormat="1" ht="30" customHeight="1">
      <c r="A21" s="38"/>
      <c r="B21" s="44"/>
      <c r="C21" s="45" t="s">
        <v>106</v>
      </c>
      <c r="D21" s="46" t="s">
        <v>107</v>
      </c>
      <c r="E21" s="46" t="s">
        <v>108</v>
      </c>
      <c r="F21" s="46">
        <v>6</v>
      </c>
      <c r="G21" s="46" t="s">
        <v>73</v>
      </c>
      <c r="H21" s="47">
        <v>8.99</v>
      </c>
      <c r="I21" s="48">
        <f>IFERROR(List3[[#This Row],[QTY]]*List3[[#This Row],[UNIT PRICE]],"")</f>
        <v>53.94</v>
      </c>
      <c r="J21" s="49"/>
      <c r="K21" s="40"/>
      <c r="L21" s="63"/>
      <c r="M21" s="64"/>
    </row>
    <row r="22" spans="1:13" s="43" customFormat="1" ht="30" customHeight="1">
      <c r="A22" s="38"/>
      <c r="B22" s="44"/>
      <c r="C22" s="45" t="s">
        <v>109</v>
      </c>
      <c r="D22" s="46" t="s">
        <v>107</v>
      </c>
      <c r="E22" s="46" t="s">
        <v>108</v>
      </c>
      <c r="F22" s="46">
        <v>5</v>
      </c>
      <c r="G22" s="46" t="s">
        <v>73</v>
      </c>
      <c r="H22" s="47">
        <v>10.99</v>
      </c>
      <c r="I22" s="48">
        <f>IFERROR(List3[[#This Row],[QTY]]*List3[[#This Row],[UNIT PRICE]],"")</f>
        <v>54.95</v>
      </c>
      <c r="J22" s="49"/>
      <c r="K22" s="40"/>
      <c r="L22" s="63"/>
      <c r="M22" s="64"/>
    </row>
    <row r="23" spans="1:13" s="43" customFormat="1" ht="30" customHeight="1">
      <c r="A23" s="3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63"/>
      <c r="M23" s="64"/>
    </row>
    <row r="24" spans="1:13" s="43" customFormat="1" ht="30" customHeight="1">
      <c r="A24" s="3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63"/>
      <c r="M24" s="64"/>
    </row>
    <row r="25" spans="1:13" s="43" customFormat="1" ht="30" customHeight="1">
      <c r="A25" s="38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63"/>
      <c r="M25" s="64"/>
    </row>
    <row r="26" spans="1:13" s="43" customFormat="1" ht="30" customHeight="1">
      <c r="A26" s="38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63"/>
      <c r="M26" s="64"/>
    </row>
    <row r="27" spans="1:13" s="43" customFormat="1" ht="30" customHeight="1">
      <c r="A27" s="38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63"/>
      <c r="M27" s="64"/>
    </row>
    <row r="28" spans="1:13" s="43" customFormat="1" ht="30" customHeight="1">
      <c r="A28" s="38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63"/>
      <c r="M28" s="64"/>
    </row>
    <row r="29" spans="1:13" s="43" customFormat="1" ht="30" customHeight="1">
      <c r="A29" s="38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63"/>
      <c r="M29" s="64"/>
    </row>
    <row r="30" spans="1:13" s="43" customFormat="1" ht="30" customHeight="1">
      <c r="A30" s="38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63"/>
      <c r="M30" s="64"/>
    </row>
  </sheetData>
  <dataValidations count="17">
    <dataValidation allowBlank="1" showInputMessage="1" showErrorMessage="1" prompt="Total for all grocery items is calculated in the cell below" sqref="L19" xr:uid="{D03CC81B-CF42-4C22-AC73-CD5F196F77C2}"/>
    <dataValidation allowBlank="1" showInputMessage="1" showErrorMessage="1" prompt="Price subtotal for other items not included in the first four categories is automatically summed up in the cell below" sqref="L16" xr:uid="{DD640A3B-F104-4126-AAE0-60A6DEEC9587}"/>
    <dataValidation allowBlank="1" showInputMessage="1" showErrorMessage="1" prompt="Category with the fourth highest price subtotal automatically appears here. Price subtotal is in below cell." sqref="L13" xr:uid="{18F27DBD-3795-42A7-98B7-ED1F01F14B74}"/>
    <dataValidation allowBlank="1" showInputMessage="1" showErrorMessage="1" prompt="Category with the third highest price subtotal automatically appears here. Price subtotal is in below cell." sqref="L10" xr:uid="{E8EC75EC-30EA-454F-B8D1-A16F6DD4CD25}"/>
    <dataValidation allowBlank="1" showInputMessage="1" showErrorMessage="1" prompt="Category with the second highest price subtotal automatically appears here. Price subtotal is in below cell." sqref="L7" xr:uid="{35EBF7AD-A39E-41C7-AFDB-A0EF5E37AEAD}"/>
    <dataValidation allowBlank="1" showInputMessage="1" showErrorMessage="1" prompt="Category with the highest price subtotal automatically appears here. Price subtotal is in below cell." sqref="L4" xr:uid="{CD755C3D-5D47-44A7-BDD7-F4F295958907}"/>
    <dataValidation allowBlank="1" showInputMessage="1" showErrorMessage="1" prompt="Use this worksheet to create a grocery list. Enter grocery details in the table starting in cell B4. Category totals are automatically updated in column L._x000a__x000a_To insert or delete rows, please use the Insert Table Rows or Delete Table Rows function." sqref="A1" xr:uid="{8707F456-49A5-4A0F-98D8-897DDEA3FD70}"/>
    <dataValidation allowBlank="1" showInputMessage="1" showErrorMessage="1" prompt="Title of this worksheet is in this cell" sqref="B3" xr:uid="{3F8ACDAE-8875-4DF9-B1BE-7794E83A4268}"/>
    <dataValidation allowBlank="1" showInputMessage="1" showErrorMessage="1" prompt="Enter Comment in this column under this heading" sqref="J4" xr:uid="{F934D90D-72CF-4F95-A065-D481DDA1E893}"/>
    <dataValidation allowBlank="1" showInputMessage="1" showErrorMessage="1" prompt="Total is automatically calculated in this column under this heading" sqref="I4" xr:uid="{7C6B6E91-6859-4D66-9DDA-163057CF1330}"/>
    <dataValidation allowBlank="1" showInputMessage="1" showErrorMessage="1" prompt="Enter Unit Price in this column under this heading" sqref="H4" xr:uid="{5A07BA71-C9DF-4D4E-BD8A-63700C75D8C8}"/>
    <dataValidation allowBlank="1" showInputMessage="1" showErrorMessage="1" prompt="Enter Unit in this column under this heading" sqref="G4" xr:uid="{94B06D1D-8F6E-450E-BE64-C2E0E238142A}"/>
    <dataValidation allowBlank="1" showInputMessage="1" showErrorMessage="1" prompt="Enter Quantity in this column under this heading" sqref="F4" xr:uid="{6D7F7D34-1A1F-4480-A96C-9CE5E43857EF}"/>
    <dataValidation allowBlank="1" showInputMessage="1" showErrorMessage="1" prompt="Enter Category in this column under this heading" sqref="E4" xr:uid="{5D7AD2A4-1244-444B-A060-E7D8828EE99F}"/>
    <dataValidation allowBlank="1" showInputMessage="1" showErrorMessage="1" prompt="Enter Store type in this column under this heading" sqref="D4" xr:uid="{E730C1AA-F6A5-43AE-B82C-D39F2EB609C3}"/>
    <dataValidation allowBlank="1" showInputMessage="1" showErrorMessage="1" prompt="Enter Item in this column under this heading" sqref="C4" xr:uid="{F30B362D-33AE-4771-B722-7785F118D126}"/>
    <dataValidation allowBlank="1" showInputMessage="1" showErrorMessage="1" prompt="Enter a number greater than 0 in this column under this heading to mark item as bought" sqref="B4" xr:uid="{E14E3516-EC26-4B74-A5C7-B7C786FE044F}"/>
  </dataValidations>
  <printOptions horizontalCentered="1"/>
  <pageMargins left="0.3" right="0.3" top="0.5" bottom="0.5" header="0.3" footer="0.3"/>
  <pageSetup scale="41" fitToHeight="0" orientation="portrait" r:id="rId1"/>
  <headerFooter differentFirst="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88FF3CC-8ABD-4645-8E63-DD6F7799FDE7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B5:B22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8D50-920A-4BA5-BDE1-87EB3FB7F96D}">
  <sheetPr>
    <tabColor theme="4"/>
    <pageSetUpPr fitToPage="1"/>
  </sheetPr>
  <dimension ref="A1:M30"/>
  <sheetViews>
    <sheetView showGridLines="0" zoomScaleNormal="100" workbookViewId="0">
      <selection activeCell="B8" sqref="B8"/>
    </sheetView>
  </sheetViews>
  <sheetFormatPr defaultColWidth="9.5546875" defaultRowHeight="21" customHeight="1"/>
  <cols>
    <col min="1" max="1" width="3.44140625" style="65" customWidth="1"/>
    <col min="2" max="2" width="13.44140625" style="66" customWidth="1"/>
    <col min="3" max="3" width="38.44140625" style="66" customWidth="1"/>
    <col min="4" max="5" width="23.44140625" style="66" customWidth="1"/>
    <col min="6" max="6" width="13.44140625" style="66" customWidth="1"/>
    <col min="7" max="7" width="16" style="66" customWidth="1"/>
    <col min="8" max="8" width="23.44140625" style="66" customWidth="1"/>
    <col min="9" max="9" width="16" style="66" customWidth="1"/>
    <col min="10" max="10" width="38.44140625" style="66" customWidth="1"/>
    <col min="11" max="11" width="3.44140625" style="66" customWidth="1"/>
    <col min="12" max="12" width="32.21875" style="67" customWidth="1"/>
    <col min="13" max="13" width="3.44140625" style="28" customWidth="1"/>
    <col min="14" max="14" width="3.44140625" style="29" customWidth="1"/>
    <col min="15" max="16384" width="9.5546875" style="29"/>
  </cols>
  <sheetData>
    <row r="1" spans="1:13" ht="19.95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7" t="str">
        <f>[1]calculations!M9</f>
        <v>DAIRY TOTAL</v>
      </c>
      <c r="M1" s="28" t="s">
        <v>59</v>
      </c>
    </row>
    <row r="2" spans="1:13" ht="169.95" customHeight="1">
      <c r="A2" s="25"/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3" s="32" customFormat="1" ht="70.2" customHeight="1">
      <c r="B3" s="33" t="s">
        <v>60</v>
      </c>
      <c r="C3" s="34"/>
      <c r="D3" s="35"/>
      <c r="E3" s="35"/>
      <c r="F3" s="35"/>
      <c r="G3" s="35"/>
      <c r="H3" s="35"/>
      <c r="I3" s="35"/>
      <c r="J3" s="35"/>
      <c r="K3" s="35"/>
      <c r="L3" s="36"/>
      <c r="M3" s="37"/>
    </row>
    <row r="4" spans="1:13" s="43" customFormat="1" ht="30" customHeight="1">
      <c r="A4" s="38"/>
      <c r="B4" s="39" t="s">
        <v>61</v>
      </c>
      <c r="C4" s="39" t="s">
        <v>62</v>
      </c>
      <c r="D4" s="39" t="s">
        <v>63</v>
      </c>
      <c r="E4" s="39" t="s">
        <v>64</v>
      </c>
      <c r="F4" s="39" t="s">
        <v>65</v>
      </c>
      <c r="G4" s="39" t="s">
        <v>66</v>
      </c>
      <c r="H4" s="39" t="s">
        <v>67</v>
      </c>
      <c r="I4" s="39" t="s">
        <v>68</v>
      </c>
      <c r="J4" s="39" t="s">
        <v>69</v>
      </c>
      <c r="K4" s="40"/>
      <c r="L4" s="41" t="str">
        <f>[1]calculations!M6</f>
        <v>SEAFOOD TOTAL</v>
      </c>
      <c r="M4" s="42"/>
    </row>
    <row r="5" spans="1:13" s="43" customFormat="1" ht="30" customHeight="1">
      <c r="A5" s="38"/>
      <c r="B5" s="44">
        <v>1</v>
      </c>
      <c r="C5" s="45" t="s">
        <v>70</v>
      </c>
      <c r="D5" s="46" t="s">
        <v>71</v>
      </c>
      <c r="E5" s="46" t="s">
        <v>72</v>
      </c>
      <c r="F5" s="46">
        <v>2</v>
      </c>
      <c r="G5" s="46" t="s">
        <v>73</v>
      </c>
      <c r="H5" s="47">
        <v>2.99</v>
      </c>
      <c r="I5" s="48">
        <f>IFERROR(List4[[#This Row],[QTY]]*List4[[#This Row],[UNIT PRICE]],"")</f>
        <v>5.98</v>
      </c>
      <c r="J5" s="49"/>
      <c r="K5" s="40"/>
      <c r="L5" s="50">
        <f>[1]calculations!L6</f>
        <v>109</v>
      </c>
      <c r="M5" s="51"/>
    </row>
    <row r="6" spans="1:13" s="43" customFormat="1" ht="30" customHeight="1">
      <c r="A6" s="38"/>
      <c r="B6" s="44">
        <v>1</v>
      </c>
      <c r="C6" s="45" t="s">
        <v>74</v>
      </c>
      <c r="D6" s="46" t="s">
        <v>75</v>
      </c>
      <c r="E6" s="46" t="s">
        <v>72</v>
      </c>
      <c r="F6" s="46">
        <v>3</v>
      </c>
      <c r="G6" s="46" t="s">
        <v>73</v>
      </c>
      <c r="H6" s="47">
        <v>1.99</v>
      </c>
      <c r="I6" s="48">
        <f>IFERROR(List4[[#This Row],[QTY]]*List4[[#This Row],[UNIT PRICE]],"")</f>
        <v>5.97</v>
      </c>
      <c r="J6" s="49" t="s">
        <v>76</v>
      </c>
      <c r="K6" s="40"/>
      <c r="L6" s="52"/>
      <c r="M6" s="42"/>
    </row>
    <row r="7" spans="1:13" s="43" customFormat="1" ht="30" customHeight="1">
      <c r="A7" s="38"/>
      <c r="B7" s="44"/>
      <c r="C7" s="45" t="s">
        <v>77</v>
      </c>
      <c r="D7" s="46" t="s">
        <v>71</v>
      </c>
      <c r="E7" s="46" t="s">
        <v>72</v>
      </c>
      <c r="F7" s="46">
        <v>1</v>
      </c>
      <c r="G7" s="46" t="s">
        <v>78</v>
      </c>
      <c r="H7" s="47">
        <v>3.99</v>
      </c>
      <c r="I7" s="48">
        <f>IFERROR(List4[[#This Row],[QTY]]*List4[[#This Row],[UNIT PRICE]],"")</f>
        <v>3.99</v>
      </c>
      <c r="J7" s="49"/>
      <c r="K7" s="40"/>
      <c r="L7" s="53" t="str">
        <f>[1]calculations!M7</f>
        <v>MEAT TOTAL</v>
      </c>
      <c r="M7" s="42"/>
    </row>
    <row r="8" spans="1:13" s="43" customFormat="1" ht="30" customHeight="1">
      <c r="A8" s="38"/>
      <c r="B8" s="44" t="s">
        <v>159</v>
      </c>
      <c r="C8" s="45" t="s">
        <v>79</v>
      </c>
      <c r="D8" s="46" t="s">
        <v>80</v>
      </c>
      <c r="E8" s="46" t="s">
        <v>72</v>
      </c>
      <c r="F8" s="46">
        <v>2</v>
      </c>
      <c r="G8" s="46" t="s">
        <v>81</v>
      </c>
      <c r="H8" s="47">
        <v>2.29</v>
      </c>
      <c r="I8" s="48">
        <f>IFERROR(List4[[#This Row],[QTY]]*List4[[#This Row],[UNIT PRICE]],"")</f>
        <v>4.58</v>
      </c>
      <c r="J8" s="49"/>
      <c r="K8" s="40"/>
      <c r="L8" s="54">
        <f>[1]calculations!L7</f>
        <v>80</v>
      </c>
      <c r="M8" s="42"/>
    </row>
    <row r="9" spans="1:13" s="43" customFormat="1" ht="30" customHeight="1">
      <c r="A9" s="38"/>
      <c r="B9" s="44"/>
      <c r="C9" s="45" t="s">
        <v>82</v>
      </c>
      <c r="D9" s="46" t="s">
        <v>80</v>
      </c>
      <c r="E9" s="46" t="s">
        <v>72</v>
      </c>
      <c r="F9" s="46">
        <v>4</v>
      </c>
      <c r="G9" s="46" t="s">
        <v>73</v>
      </c>
      <c r="H9" s="47">
        <v>3.49</v>
      </c>
      <c r="I9" s="48">
        <f>IFERROR(List4[[#This Row],[QTY]]*List4[[#This Row],[UNIT PRICE]],"")</f>
        <v>13.96</v>
      </c>
      <c r="J9" s="49"/>
      <c r="K9" s="40"/>
      <c r="L9" s="52"/>
      <c r="M9" s="42"/>
    </row>
    <row r="10" spans="1:13" s="43" customFormat="1" ht="30" customHeight="1">
      <c r="A10" s="38"/>
      <c r="B10" s="44"/>
      <c r="C10" s="45" t="s">
        <v>83</v>
      </c>
      <c r="D10" s="46" t="s">
        <v>80</v>
      </c>
      <c r="E10" s="46" t="s">
        <v>72</v>
      </c>
      <c r="F10" s="46">
        <v>2</v>
      </c>
      <c r="G10" s="46" t="s">
        <v>84</v>
      </c>
      <c r="H10" s="47">
        <v>1.5</v>
      </c>
      <c r="I10" s="48">
        <f>IFERROR(List4[[#This Row],[QTY]]*List4[[#This Row],[UNIT PRICE]],"")</f>
        <v>3</v>
      </c>
      <c r="J10" s="49"/>
      <c r="K10" s="40"/>
      <c r="L10" s="55" t="str">
        <f>[1]calculations!M8</f>
        <v>PRODUCE TOTAL</v>
      </c>
      <c r="M10" s="42"/>
    </row>
    <row r="11" spans="1:13" s="43" customFormat="1" ht="30" customHeight="1">
      <c r="A11" s="38"/>
      <c r="B11" s="44"/>
      <c r="C11" s="45" t="s">
        <v>85</v>
      </c>
      <c r="D11" s="46" t="s">
        <v>71</v>
      </c>
      <c r="E11" s="46" t="s">
        <v>72</v>
      </c>
      <c r="F11" s="46">
        <v>2</v>
      </c>
      <c r="G11" s="46" t="s">
        <v>78</v>
      </c>
      <c r="H11" s="47">
        <v>1.99</v>
      </c>
      <c r="I11" s="48">
        <f>IFERROR(List4[[#This Row],[QTY]]*List4[[#This Row],[UNIT PRICE]],"")</f>
        <v>3.98</v>
      </c>
      <c r="J11" s="49"/>
      <c r="K11" s="40"/>
      <c r="L11" s="56">
        <f>[1]calculations!L8</f>
        <v>45</v>
      </c>
      <c r="M11" s="42"/>
    </row>
    <row r="12" spans="1:13" s="43" customFormat="1" ht="30" customHeight="1">
      <c r="A12" s="38"/>
      <c r="B12" s="44"/>
      <c r="C12" s="45" t="s">
        <v>86</v>
      </c>
      <c r="D12" s="46" t="s">
        <v>80</v>
      </c>
      <c r="E12" s="46" t="s">
        <v>72</v>
      </c>
      <c r="F12" s="46">
        <v>1</v>
      </c>
      <c r="G12" s="46" t="s">
        <v>73</v>
      </c>
      <c r="H12" s="47">
        <v>2.29</v>
      </c>
      <c r="I12" s="48">
        <f>IFERROR(List4[[#This Row],[QTY]]*List4[[#This Row],[UNIT PRICE]],"")</f>
        <v>2.29</v>
      </c>
      <c r="J12" s="49"/>
      <c r="K12" s="40"/>
      <c r="L12" s="52"/>
      <c r="M12" s="42"/>
    </row>
    <row r="13" spans="1:13" s="43" customFormat="1" ht="30" customHeight="1">
      <c r="A13" s="38"/>
      <c r="B13" s="44"/>
      <c r="C13" s="45" t="s">
        <v>87</v>
      </c>
      <c r="D13" s="46" t="s">
        <v>71</v>
      </c>
      <c r="E13" s="46" t="s">
        <v>72</v>
      </c>
      <c r="F13" s="46">
        <v>0.5</v>
      </c>
      <c r="G13" s="46" t="s">
        <v>73</v>
      </c>
      <c r="H13" s="47">
        <v>2.25</v>
      </c>
      <c r="I13" s="48">
        <f>IFERROR(List4[[#This Row],[QTY]]*List4[[#This Row],[UNIT PRICE]],"")</f>
        <v>1.125</v>
      </c>
      <c r="J13" s="49" t="s">
        <v>88</v>
      </c>
      <c r="K13" s="40"/>
      <c r="L13" s="57" t="str">
        <f>[1]calculations!M9</f>
        <v>DAIRY TOTAL</v>
      </c>
      <c r="M13" s="42"/>
    </row>
    <row r="14" spans="1:13" s="43" customFormat="1" ht="30" customHeight="1">
      <c r="A14" s="38"/>
      <c r="B14" s="44"/>
      <c r="C14" s="45" t="s">
        <v>89</v>
      </c>
      <c r="D14" s="46" t="s">
        <v>90</v>
      </c>
      <c r="E14" s="46" t="s">
        <v>91</v>
      </c>
      <c r="F14" s="46">
        <v>2</v>
      </c>
      <c r="G14" s="46" t="s">
        <v>92</v>
      </c>
      <c r="H14" s="47">
        <v>3.99</v>
      </c>
      <c r="I14" s="48">
        <f>IFERROR(List4[[#This Row],[QTY]]*List4[[#This Row],[UNIT PRICE]],"")</f>
        <v>7.98</v>
      </c>
      <c r="J14" s="49"/>
      <c r="K14" s="40"/>
      <c r="L14" s="58">
        <f>[1]calculations!L9</f>
        <v>37</v>
      </c>
      <c r="M14" s="42"/>
    </row>
    <row r="15" spans="1:13" s="43" customFormat="1" ht="30" customHeight="1">
      <c r="A15" s="38"/>
      <c r="B15" s="44"/>
      <c r="C15" s="45" t="s">
        <v>93</v>
      </c>
      <c r="D15" s="46" t="s">
        <v>90</v>
      </c>
      <c r="E15" s="46" t="s">
        <v>91</v>
      </c>
      <c r="F15" s="46">
        <v>1</v>
      </c>
      <c r="G15" s="46" t="s">
        <v>73</v>
      </c>
      <c r="H15" s="47">
        <v>9.99</v>
      </c>
      <c r="I15" s="48">
        <f>IFERROR(List4[[#This Row],[QTY]]*List4[[#This Row],[UNIT PRICE]],"")</f>
        <v>9.99</v>
      </c>
      <c r="J15" s="49" t="s">
        <v>94</v>
      </c>
      <c r="K15" s="40"/>
      <c r="L15" s="52"/>
      <c r="M15" s="42"/>
    </row>
    <row r="16" spans="1:13" s="43" customFormat="1" ht="30" customHeight="1">
      <c r="A16" s="38"/>
      <c r="B16" s="44"/>
      <c r="C16" s="45" t="s">
        <v>95</v>
      </c>
      <c r="D16" s="46" t="s">
        <v>90</v>
      </c>
      <c r="E16" s="46" t="s">
        <v>91</v>
      </c>
      <c r="F16" s="46">
        <v>2</v>
      </c>
      <c r="G16" s="46" t="s">
        <v>96</v>
      </c>
      <c r="H16" s="47">
        <v>3.5</v>
      </c>
      <c r="I16" s="48">
        <f>IFERROR(List4[[#This Row],[QTY]]*List4[[#This Row],[UNIT PRICE]],"")</f>
        <v>7</v>
      </c>
      <c r="J16" s="49"/>
      <c r="K16" s="40"/>
      <c r="L16" s="59" t="str">
        <f>[1]calculations!M3</f>
        <v>OTHER TOTAL</v>
      </c>
      <c r="M16" s="42"/>
    </row>
    <row r="17" spans="1:13" s="43" customFormat="1" ht="30" customHeight="1">
      <c r="A17" s="38"/>
      <c r="B17" s="44"/>
      <c r="C17" s="45" t="s">
        <v>97</v>
      </c>
      <c r="D17" s="46" t="s">
        <v>90</v>
      </c>
      <c r="E17" s="46" t="s">
        <v>91</v>
      </c>
      <c r="F17" s="46">
        <v>1</v>
      </c>
      <c r="G17" s="46" t="s">
        <v>98</v>
      </c>
      <c r="H17" s="47">
        <v>3.89</v>
      </c>
      <c r="I17" s="48">
        <f>IFERROR(List4[[#This Row],[QTY]]*List4[[#This Row],[UNIT PRICE]],"")</f>
        <v>3.89</v>
      </c>
      <c r="J17" s="49"/>
      <c r="K17" s="40"/>
      <c r="L17" s="60">
        <f>[1]calculations!L3</f>
        <v>0</v>
      </c>
      <c r="M17" s="42"/>
    </row>
    <row r="18" spans="1:13" s="43" customFormat="1" ht="30" customHeight="1">
      <c r="A18" s="38"/>
      <c r="B18" s="44"/>
      <c r="C18" s="45" t="s">
        <v>99</v>
      </c>
      <c r="D18" s="46" t="s">
        <v>90</v>
      </c>
      <c r="E18" s="46" t="s">
        <v>91</v>
      </c>
      <c r="F18" s="46">
        <v>1</v>
      </c>
      <c r="G18" s="46" t="s">
        <v>100</v>
      </c>
      <c r="H18" s="47">
        <v>2.99</v>
      </c>
      <c r="I18" s="48">
        <f>IFERROR(List4[[#This Row],[QTY]]*List4[[#This Row],[UNIT PRICE]],"")</f>
        <v>2.99</v>
      </c>
      <c r="J18" s="49"/>
      <c r="K18" s="40"/>
      <c r="L18" s="52"/>
      <c r="M18" s="42"/>
    </row>
    <row r="19" spans="1:13" s="43" customFormat="1" ht="30" customHeight="1">
      <c r="A19" s="38"/>
      <c r="B19" s="44"/>
      <c r="C19" s="45" t="s">
        <v>101</v>
      </c>
      <c r="D19" s="46" t="s">
        <v>71</v>
      </c>
      <c r="E19" s="46" t="s">
        <v>91</v>
      </c>
      <c r="F19" s="46">
        <v>1</v>
      </c>
      <c r="G19" s="46" t="s">
        <v>98</v>
      </c>
      <c r="H19" s="47">
        <v>4.99</v>
      </c>
      <c r="I19" s="48">
        <f>IFERROR(List4[[#This Row],[QTY]]*List4[[#This Row],[UNIT PRICE]],"")</f>
        <v>4.99</v>
      </c>
      <c r="J19" s="49" t="s">
        <v>102</v>
      </c>
      <c r="K19" s="40"/>
      <c r="L19" s="61" t="str">
        <f>[1]calculations!M4</f>
        <v>GROCERY TOTAL</v>
      </c>
      <c r="M19" s="51"/>
    </row>
    <row r="20" spans="1:13" s="43" customFormat="1" ht="30" customHeight="1">
      <c r="A20" s="38"/>
      <c r="B20" s="44"/>
      <c r="C20" s="45" t="s">
        <v>103</v>
      </c>
      <c r="D20" s="46" t="s">
        <v>80</v>
      </c>
      <c r="E20" s="46" t="s">
        <v>104</v>
      </c>
      <c r="F20" s="46">
        <v>10</v>
      </c>
      <c r="G20" s="46" t="s">
        <v>73</v>
      </c>
      <c r="H20" s="47">
        <v>7.99</v>
      </c>
      <c r="I20" s="48">
        <f>IFERROR(List4[[#This Row],[QTY]]*List4[[#This Row],[UNIT PRICE]],"")</f>
        <v>79.900000000000006</v>
      </c>
      <c r="J20" s="49" t="s">
        <v>105</v>
      </c>
      <c r="K20" s="40"/>
      <c r="L20" s="62">
        <f>GroceryTotal</f>
        <v>271</v>
      </c>
      <c r="M20" s="51"/>
    </row>
    <row r="21" spans="1:13" s="43" customFormat="1" ht="30" customHeight="1">
      <c r="A21" s="38"/>
      <c r="B21" s="44"/>
      <c r="C21" s="45" t="s">
        <v>106</v>
      </c>
      <c r="D21" s="46" t="s">
        <v>107</v>
      </c>
      <c r="E21" s="46" t="s">
        <v>108</v>
      </c>
      <c r="F21" s="46">
        <v>6</v>
      </c>
      <c r="G21" s="46" t="s">
        <v>73</v>
      </c>
      <c r="H21" s="47">
        <v>8.99</v>
      </c>
      <c r="I21" s="48">
        <f>IFERROR(List4[[#This Row],[QTY]]*List4[[#This Row],[UNIT PRICE]],"")</f>
        <v>53.94</v>
      </c>
      <c r="J21" s="49"/>
      <c r="K21" s="40"/>
      <c r="L21" s="63"/>
      <c r="M21" s="64"/>
    </row>
    <row r="22" spans="1:13" s="43" customFormat="1" ht="30" customHeight="1">
      <c r="A22" s="38"/>
      <c r="B22" s="44"/>
      <c r="C22" s="45" t="s">
        <v>109</v>
      </c>
      <c r="D22" s="46" t="s">
        <v>107</v>
      </c>
      <c r="E22" s="46" t="s">
        <v>108</v>
      </c>
      <c r="F22" s="46">
        <v>5</v>
      </c>
      <c r="G22" s="46" t="s">
        <v>73</v>
      </c>
      <c r="H22" s="47">
        <v>10.99</v>
      </c>
      <c r="I22" s="48">
        <f>IFERROR(List4[[#This Row],[QTY]]*List4[[#This Row],[UNIT PRICE]],"")</f>
        <v>54.95</v>
      </c>
      <c r="J22" s="49"/>
      <c r="K22" s="40"/>
      <c r="L22" s="63"/>
      <c r="M22" s="64"/>
    </row>
    <row r="23" spans="1:13" s="43" customFormat="1" ht="30" customHeight="1">
      <c r="A23" s="3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63"/>
      <c r="M23" s="64"/>
    </row>
    <row r="24" spans="1:13" s="43" customFormat="1" ht="30" customHeight="1">
      <c r="A24" s="3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63"/>
      <c r="M24" s="64"/>
    </row>
    <row r="25" spans="1:13" s="43" customFormat="1" ht="30" customHeight="1">
      <c r="A25" s="38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63"/>
      <c r="M25" s="64"/>
    </row>
    <row r="26" spans="1:13" s="43" customFormat="1" ht="30" customHeight="1">
      <c r="A26" s="38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63"/>
      <c r="M26" s="64"/>
    </row>
    <row r="27" spans="1:13" s="43" customFormat="1" ht="30" customHeight="1">
      <c r="A27" s="38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63"/>
      <c r="M27" s="64"/>
    </row>
    <row r="28" spans="1:13" s="43" customFormat="1" ht="30" customHeight="1">
      <c r="A28" s="38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63"/>
      <c r="M28" s="64"/>
    </row>
    <row r="29" spans="1:13" s="43" customFormat="1" ht="30" customHeight="1">
      <c r="A29" s="38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63"/>
      <c r="M29" s="64"/>
    </row>
    <row r="30" spans="1:13" s="43" customFormat="1" ht="30" customHeight="1">
      <c r="A30" s="38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63"/>
      <c r="M30" s="64"/>
    </row>
  </sheetData>
  <dataValidations count="17">
    <dataValidation allowBlank="1" showInputMessage="1" showErrorMessage="1" prompt="Total for all grocery items is calculated in the cell below" sqref="L19" xr:uid="{738DB65B-A72F-4E8C-B783-3EF4AEDC422E}"/>
    <dataValidation allowBlank="1" showInputMessage="1" showErrorMessage="1" prompt="Price subtotal for other items not included in the first four categories is automatically summed up in the cell below" sqref="L16" xr:uid="{31D07BE2-8527-4596-8672-99C15C8ED087}"/>
    <dataValidation allowBlank="1" showInputMessage="1" showErrorMessage="1" prompt="Category with the fourth highest price subtotal automatically appears here. Price subtotal is in below cell." sqref="L13" xr:uid="{DC17E465-760C-4F34-9DD5-5F2E6AB48CCD}"/>
    <dataValidation allowBlank="1" showInputMessage="1" showErrorMessage="1" prompt="Category with the third highest price subtotal automatically appears here. Price subtotal is in below cell." sqref="L10" xr:uid="{E187D710-8B1A-4F08-A8A5-F0F534061202}"/>
    <dataValidation allowBlank="1" showInputMessage="1" showErrorMessage="1" prompt="Category with the second highest price subtotal automatically appears here. Price subtotal is in below cell." sqref="L7" xr:uid="{9CC4CDAD-DEE1-4D63-8D61-38A757DC2511}"/>
    <dataValidation allowBlank="1" showInputMessage="1" showErrorMessage="1" prompt="Category with the highest price subtotal automatically appears here. Price subtotal is in below cell." sqref="L4" xr:uid="{A7ECD241-A407-47B1-A9D7-25E44B886B2E}"/>
    <dataValidation allowBlank="1" showInputMessage="1" showErrorMessage="1" prompt="Use this worksheet to create a grocery list. Enter grocery details in the table starting in cell B4. Category totals are automatically updated in column L._x000a__x000a_To insert or delete rows, please use the Insert Table Rows or Delete Table Rows function." sqref="A1" xr:uid="{5E8222B3-FF05-4FA6-BCA3-DA0A08874D9D}"/>
    <dataValidation allowBlank="1" showInputMessage="1" showErrorMessage="1" prompt="Title of this worksheet is in this cell" sqref="B3" xr:uid="{90E1DC7D-0EA8-4232-954D-62203F0B41E4}"/>
    <dataValidation allowBlank="1" showInputMessage="1" showErrorMessage="1" prompt="Enter Comment in this column under this heading" sqref="J4" xr:uid="{977A7D62-050A-462D-A241-3E6923E0F422}"/>
    <dataValidation allowBlank="1" showInputMessage="1" showErrorMessage="1" prompt="Total is automatically calculated in this column under this heading" sqref="I4" xr:uid="{85D7C290-1B36-4A0B-BEBD-C6108E31D4BD}"/>
    <dataValidation allowBlank="1" showInputMessage="1" showErrorMessage="1" prompt="Enter Unit Price in this column under this heading" sqref="H4" xr:uid="{18AB9437-6881-495E-94F2-448DDC6E573F}"/>
    <dataValidation allowBlank="1" showInputMessage="1" showErrorMessage="1" prompt="Enter Unit in this column under this heading" sqref="G4" xr:uid="{DFFE5055-FE15-4BBD-97ED-97B8479578D5}"/>
    <dataValidation allowBlank="1" showInputMessage="1" showErrorMessage="1" prompt="Enter Quantity in this column under this heading" sqref="F4" xr:uid="{E783E84E-ECC9-487F-A1A9-BD3807B51E69}"/>
    <dataValidation allowBlank="1" showInputMessage="1" showErrorMessage="1" prompt="Enter Category in this column under this heading" sqref="E4" xr:uid="{64C74A44-FF7E-4BAC-8195-4CD26718D9CE}"/>
    <dataValidation allowBlank="1" showInputMessage="1" showErrorMessage="1" prompt="Enter Store type in this column under this heading" sqref="D4" xr:uid="{DAF9653C-3575-4AED-9540-D1EE130B9EDB}"/>
    <dataValidation allowBlank="1" showInputMessage="1" showErrorMessage="1" prompt="Enter Item in this column under this heading" sqref="C4" xr:uid="{BBA7806A-EF1D-4B62-8A1F-498EBAD7DE8D}"/>
    <dataValidation allowBlank="1" showInputMessage="1" showErrorMessage="1" prompt="Enter a number greater than 0 in this column under this heading to mark item as bought" sqref="B4" xr:uid="{DF0AB563-CE86-4330-9538-C69968B128F9}"/>
  </dataValidations>
  <printOptions horizontalCentered="1"/>
  <pageMargins left="0.3" right="0.3" top="0.5" bottom="0.5" header="0.3" footer="0.3"/>
  <pageSetup scale="41" fitToHeight="0" orientation="portrait" r:id="rId1"/>
  <headerFooter differentFirst="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0C31C42-89AD-4682-8B30-14E8D1CAD5A9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B5:B22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BAD1-CE96-455F-B319-62CC9C90A796}">
  <sheetPr>
    <tabColor theme="4"/>
    <pageSetUpPr fitToPage="1"/>
  </sheetPr>
  <dimension ref="A1:M30"/>
  <sheetViews>
    <sheetView showGridLines="0" zoomScaleNormal="100" workbookViewId="0">
      <selection activeCell="B8" sqref="B8"/>
    </sheetView>
  </sheetViews>
  <sheetFormatPr defaultColWidth="9.5546875" defaultRowHeight="21" customHeight="1"/>
  <cols>
    <col min="1" max="1" width="3.44140625" style="65" customWidth="1"/>
    <col min="2" max="2" width="13.44140625" style="66" customWidth="1"/>
    <col min="3" max="3" width="38.44140625" style="66" customWidth="1"/>
    <col min="4" max="5" width="23.44140625" style="66" customWidth="1"/>
    <col min="6" max="6" width="13.44140625" style="66" customWidth="1"/>
    <col min="7" max="7" width="16" style="66" customWidth="1"/>
    <col min="8" max="8" width="23.44140625" style="66" customWidth="1"/>
    <col min="9" max="9" width="16" style="66" customWidth="1"/>
    <col min="10" max="10" width="38.44140625" style="66" customWidth="1"/>
    <col min="11" max="11" width="3.44140625" style="66" customWidth="1"/>
    <col min="12" max="12" width="32.21875" style="67" customWidth="1"/>
    <col min="13" max="13" width="3.44140625" style="28" customWidth="1"/>
    <col min="14" max="14" width="3.44140625" style="29" customWidth="1"/>
    <col min="15" max="16384" width="9.5546875" style="29"/>
  </cols>
  <sheetData>
    <row r="1" spans="1:13" ht="19.95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7" t="str">
        <f>[1]calculations!M9</f>
        <v>DAIRY TOTAL</v>
      </c>
      <c r="M1" s="28" t="s">
        <v>59</v>
      </c>
    </row>
    <row r="2" spans="1:13" ht="169.95" customHeight="1">
      <c r="A2" s="25"/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3" s="32" customFormat="1" ht="70.2" customHeight="1">
      <c r="B3" s="33" t="s">
        <v>60</v>
      </c>
      <c r="C3" s="34"/>
      <c r="D3" s="35"/>
      <c r="E3" s="35"/>
      <c r="F3" s="35"/>
      <c r="G3" s="35"/>
      <c r="H3" s="35"/>
      <c r="I3" s="35"/>
      <c r="J3" s="35"/>
      <c r="K3" s="35"/>
      <c r="L3" s="36"/>
      <c r="M3" s="37"/>
    </row>
    <row r="4" spans="1:13" s="43" customFormat="1" ht="30" customHeight="1">
      <c r="A4" s="38"/>
      <c r="B4" s="39" t="s">
        <v>61</v>
      </c>
      <c r="C4" s="39" t="s">
        <v>62</v>
      </c>
      <c r="D4" s="39" t="s">
        <v>63</v>
      </c>
      <c r="E4" s="39" t="s">
        <v>64</v>
      </c>
      <c r="F4" s="39" t="s">
        <v>65</v>
      </c>
      <c r="G4" s="39" t="s">
        <v>66</v>
      </c>
      <c r="H4" s="39" t="s">
        <v>67</v>
      </c>
      <c r="I4" s="39" t="s">
        <v>68</v>
      </c>
      <c r="J4" s="39" t="s">
        <v>69</v>
      </c>
      <c r="K4" s="40"/>
      <c r="L4" s="41" t="str">
        <f>[1]calculations!M6</f>
        <v>SEAFOOD TOTAL</v>
      </c>
      <c r="M4" s="42"/>
    </row>
    <row r="5" spans="1:13" s="43" customFormat="1" ht="30" customHeight="1">
      <c r="A5" s="38"/>
      <c r="B5" s="44">
        <v>1</v>
      </c>
      <c r="C5" s="45" t="s">
        <v>70</v>
      </c>
      <c r="D5" s="46" t="s">
        <v>71</v>
      </c>
      <c r="E5" s="46" t="s">
        <v>72</v>
      </c>
      <c r="F5" s="46">
        <v>2</v>
      </c>
      <c r="G5" s="46" t="s">
        <v>73</v>
      </c>
      <c r="H5" s="47">
        <v>2.99</v>
      </c>
      <c r="I5" s="48">
        <f>IFERROR(List5[[#This Row],[QTY]]*List5[[#This Row],[UNIT PRICE]],"")</f>
        <v>5.98</v>
      </c>
      <c r="J5" s="49"/>
      <c r="K5" s="40"/>
      <c r="L5" s="50">
        <f>[1]calculations!L6</f>
        <v>109</v>
      </c>
      <c r="M5" s="51"/>
    </row>
    <row r="6" spans="1:13" s="43" customFormat="1" ht="30" customHeight="1">
      <c r="A6" s="38"/>
      <c r="B6" s="44">
        <v>1</v>
      </c>
      <c r="C6" s="45" t="s">
        <v>74</v>
      </c>
      <c r="D6" s="46" t="s">
        <v>75</v>
      </c>
      <c r="E6" s="46" t="s">
        <v>72</v>
      </c>
      <c r="F6" s="46">
        <v>3</v>
      </c>
      <c r="G6" s="46" t="s">
        <v>73</v>
      </c>
      <c r="H6" s="47">
        <v>1.99</v>
      </c>
      <c r="I6" s="48">
        <f>IFERROR(List5[[#This Row],[QTY]]*List5[[#This Row],[UNIT PRICE]],"")</f>
        <v>5.97</v>
      </c>
      <c r="J6" s="49" t="s">
        <v>76</v>
      </c>
      <c r="K6" s="40"/>
      <c r="L6" s="52"/>
      <c r="M6" s="42"/>
    </row>
    <row r="7" spans="1:13" s="43" customFormat="1" ht="30" customHeight="1">
      <c r="A7" s="38"/>
      <c r="B7" s="44"/>
      <c r="C7" s="45" t="s">
        <v>77</v>
      </c>
      <c r="D7" s="46" t="s">
        <v>71</v>
      </c>
      <c r="E7" s="46" t="s">
        <v>72</v>
      </c>
      <c r="F7" s="46">
        <v>1</v>
      </c>
      <c r="G7" s="46" t="s">
        <v>78</v>
      </c>
      <c r="H7" s="47">
        <v>3.99</v>
      </c>
      <c r="I7" s="48">
        <f>IFERROR(List5[[#This Row],[QTY]]*List5[[#This Row],[UNIT PRICE]],"")</f>
        <v>3.99</v>
      </c>
      <c r="J7" s="49"/>
      <c r="K7" s="40"/>
      <c r="L7" s="53" t="str">
        <f>[1]calculations!M7</f>
        <v>MEAT TOTAL</v>
      </c>
      <c r="M7" s="42"/>
    </row>
    <row r="8" spans="1:13" s="43" customFormat="1" ht="30" customHeight="1">
      <c r="A8" s="38"/>
      <c r="B8" s="44"/>
      <c r="C8" s="45" t="s">
        <v>79</v>
      </c>
      <c r="D8" s="46" t="s">
        <v>80</v>
      </c>
      <c r="E8" s="46" t="s">
        <v>72</v>
      </c>
      <c r="F8" s="46">
        <v>2</v>
      </c>
      <c r="G8" s="46" t="s">
        <v>81</v>
      </c>
      <c r="H8" s="47">
        <v>2.29</v>
      </c>
      <c r="I8" s="48">
        <f>IFERROR(List5[[#This Row],[QTY]]*List5[[#This Row],[UNIT PRICE]],"")</f>
        <v>4.58</v>
      </c>
      <c r="J8" s="49"/>
      <c r="K8" s="40"/>
      <c r="L8" s="54">
        <f>[1]calculations!L7</f>
        <v>80</v>
      </c>
      <c r="M8" s="42"/>
    </row>
    <row r="9" spans="1:13" s="43" customFormat="1" ht="30" customHeight="1">
      <c r="A9" s="38"/>
      <c r="B9" s="44"/>
      <c r="C9" s="45" t="s">
        <v>82</v>
      </c>
      <c r="D9" s="46" t="s">
        <v>80</v>
      </c>
      <c r="E9" s="46" t="s">
        <v>72</v>
      </c>
      <c r="F9" s="46">
        <v>4</v>
      </c>
      <c r="G9" s="46" t="s">
        <v>73</v>
      </c>
      <c r="H9" s="47">
        <v>3.49</v>
      </c>
      <c r="I9" s="48">
        <f>IFERROR(List5[[#This Row],[QTY]]*List5[[#This Row],[UNIT PRICE]],"")</f>
        <v>13.96</v>
      </c>
      <c r="J9" s="49"/>
      <c r="K9" s="40"/>
      <c r="L9" s="52"/>
      <c r="M9" s="42"/>
    </row>
    <row r="10" spans="1:13" s="43" customFormat="1" ht="30" customHeight="1">
      <c r="A10" s="38"/>
      <c r="B10" s="44"/>
      <c r="C10" s="45" t="s">
        <v>83</v>
      </c>
      <c r="D10" s="46" t="s">
        <v>80</v>
      </c>
      <c r="E10" s="46" t="s">
        <v>72</v>
      </c>
      <c r="F10" s="46">
        <v>2</v>
      </c>
      <c r="G10" s="46" t="s">
        <v>84</v>
      </c>
      <c r="H10" s="47">
        <v>1.5</v>
      </c>
      <c r="I10" s="48">
        <f>IFERROR(List5[[#This Row],[QTY]]*List5[[#This Row],[UNIT PRICE]],"")</f>
        <v>3</v>
      </c>
      <c r="J10" s="49"/>
      <c r="K10" s="40"/>
      <c r="L10" s="55" t="str">
        <f>[1]calculations!M8</f>
        <v>PRODUCE TOTAL</v>
      </c>
      <c r="M10" s="42"/>
    </row>
    <row r="11" spans="1:13" s="43" customFormat="1" ht="30" customHeight="1">
      <c r="A11" s="38"/>
      <c r="B11" s="44"/>
      <c r="C11" s="45" t="s">
        <v>85</v>
      </c>
      <c r="D11" s="46" t="s">
        <v>71</v>
      </c>
      <c r="E11" s="46" t="s">
        <v>72</v>
      </c>
      <c r="F11" s="46">
        <v>2</v>
      </c>
      <c r="G11" s="46" t="s">
        <v>78</v>
      </c>
      <c r="H11" s="47">
        <v>1.99</v>
      </c>
      <c r="I11" s="48">
        <f>IFERROR(List5[[#This Row],[QTY]]*List5[[#This Row],[UNIT PRICE]],"")</f>
        <v>3.98</v>
      </c>
      <c r="J11" s="49"/>
      <c r="K11" s="40"/>
      <c r="L11" s="56">
        <f>[1]calculations!L8</f>
        <v>45</v>
      </c>
      <c r="M11" s="42"/>
    </row>
    <row r="12" spans="1:13" s="43" customFormat="1" ht="30" customHeight="1">
      <c r="A12" s="38"/>
      <c r="B12" s="44"/>
      <c r="C12" s="45" t="s">
        <v>86</v>
      </c>
      <c r="D12" s="46" t="s">
        <v>80</v>
      </c>
      <c r="E12" s="46" t="s">
        <v>72</v>
      </c>
      <c r="F12" s="46">
        <v>1</v>
      </c>
      <c r="G12" s="46" t="s">
        <v>73</v>
      </c>
      <c r="H12" s="47">
        <v>2.29</v>
      </c>
      <c r="I12" s="48">
        <f>IFERROR(List5[[#This Row],[QTY]]*List5[[#This Row],[UNIT PRICE]],"")</f>
        <v>2.29</v>
      </c>
      <c r="J12" s="49"/>
      <c r="K12" s="40"/>
      <c r="L12" s="52"/>
      <c r="M12" s="42"/>
    </row>
    <row r="13" spans="1:13" s="43" customFormat="1" ht="30" customHeight="1">
      <c r="A13" s="38"/>
      <c r="B13" s="44"/>
      <c r="C13" s="45" t="s">
        <v>87</v>
      </c>
      <c r="D13" s="46" t="s">
        <v>71</v>
      </c>
      <c r="E13" s="46" t="s">
        <v>72</v>
      </c>
      <c r="F13" s="46">
        <v>0.5</v>
      </c>
      <c r="G13" s="46" t="s">
        <v>73</v>
      </c>
      <c r="H13" s="47">
        <v>2.25</v>
      </c>
      <c r="I13" s="48">
        <f>IFERROR(List5[[#This Row],[QTY]]*List5[[#This Row],[UNIT PRICE]],"")</f>
        <v>1.125</v>
      </c>
      <c r="J13" s="49" t="s">
        <v>88</v>
      </c>
      <c r="K13" s="40"/>
      <c r="L13" s="57" t="str">
        <f>[1]calculations!M9</f>
        <v>DAIRY TOTAL</v>
      </c>
      <c r="M13" s="42"/>
    </row>
    <row r="14" spans="1:13" s="43" customFormat="1" ht="30" customHeight="1">
      <c r="A14" s="38"/>
      <c r="B14" s="44"/>
      <c r="C14" s="45" t="s">
        <v>89</v>
      </c>
      <c r="D14" s="46" t="s">
        <v>90</v>
      </c>
      <c r="E14" s="46" t="s">
        <v>91</v>
      </c>
      <c r="F14" s="46">
        <v>2</v>
      </c>
      <c r="G14" s="46" t="s">
        <v>92</v>
      </c>
      <c r="H14" s="47">
        <v>3.99</v>
      </c>
      <c r="I14" s="48">
        <f>IFERROR(List5[[#This Row],[QTY]]*List5[[#This Row],[UNIT PRICE]],"")</f>
        <v>7.98</v>
      </c>
      <c r="J14" s="49"/>
      <c r="K14" s="40"/>
      <c r="L14" s="58">
        <f>[1]calculations!L9</f>
        <v>37</v>
      </c>
      <c r="M14" s="42"/>
    </row>
    <row r="15" spans="1:13" s="43" customFormat="1" ht="30" customHeight="1">
      <c r="A15" s="38"/>
      <c r="B15" s="44"/>
      <c r="C15" s="45" t="s">
        <v>93</v>
      </c>
      <c r="D15" s="46" t="s">
        <v>90</v>
      </c>
      <c r="E15" s="46" t="s">
        <v>91</v>
      </c>
      <c r="F15" s="46">
        <v>1</v>
      </c>
      <c r="G15" s="46" t="s">
        <v>73</v>
      </c>
      <c r="H15" s="47">
        <v>9.99</v>
      </c>
      <c r="I15" s="48">
        <f>IFERROR(List5[[#This Row],[QTY]]*List5[[#This Row],[UNIT PRICE]],"")</f>
        <v>9.99</v>
      </c>
      <c r="J15" s="49" t="s">
        <v>94</v>
      </c>
      <c r="K15" s="40"/>
      <c r="L15" s="52"/>
      <c r="M15" s="42"/>
    </row>
    <row r="16" spans="1:13" s="43" customFormat="1" ht="30" customHeight="1">
      <c r="A16" s="38"/>
      <c r="B16" s="44"/>
      <c r="C16" s="45" t="s">
        <v>95</v>
      </c>
      <c r="D16" s="46" t="s">
        <v>90</v>
      </c>
      <c r="E16" s="46" t="s">
        <v>91</v>
      </c>
      <c r="F16" s="46">
        <v>2</v>
      </c>
      <c r="G16" s="46" t="s">
        <v>96</v>
      </c>
      <c r="H16" s="47">
        <v>3.5</v>
      </c>
      <c r="I16" s="48">
        <f>IFERROR(List5[[#This Row],[QTY]]*List5[[#This Row],[UNIT PRICE]],"")</f>
        <v>7</v>
      </c>
      <c r="J16" s="49"/>
      <c r="K16" s="40"/>
      <c r="L16" s="59" t="str">
        <f>[1]calculations!M3</f>
        <v>OTHER TOTAL</v>
      </c>
      <c r="M16" s="42"/>
    </row>
    <row r="17" spans="1:13" s="43" customFormat="1" ht="30" customHeight="1">
      <c r="A17" s="38"/>
      <c r="B17" s="44"/>
      <c r="C17" s="45" t="s">
        <v>97</v>
      </c>
      <c r="D17" s="46" t="s">
        <v>90</v>
      </c>
      <c r="E17" s="46" t="s">
        <v>91</v>
      </c>
      <c r="F17" s="46">
        <v>1</v>
      </c>
      <c r="G17" s="46" t="s">
        <v>98</v>
      </c>
      <c r="H17" s="47">
        <v>3.89</v>
      </c>
      <c r="I17" s="48">
        <f>IFERROR(List5[[#This Row],[QTY]]*List5[[#This Row],[UNIT PRICE]],"")</f>
        <v>3.89</v>
      </c>
      <c r="J17" s="49"/>
      <c r="K17" s="40"/>
      <c r="L17" s="60">
        <f>[1]calculations!L3</f>
        <v>0</v>
      </c>
      <c r="M17" s="42"/>
    </row>
    <row r="18" spans="1:13" s="43" customFormat="1" ht="30" customHeight="1">
      <c r="A18" s="38"/>
      <c r="B18" s="44"/>
      <c r="C18" s="45" t="s">
        <v>99</v>
      </c>
      <c r="D18" s="46" t="s">
        <v>90</v>
      </c>
      <c r="E18" s="46" t="s">
        <v>91</v>
      </c>
      <c r="F18" s="46">
        <v>1</v>
      </c>
      <c r="G18" s="46" t="s">
        <v>100</v>
      </c>
      <c r="H18" s="47">
        <v>2.99</v>
      </c>
      <c r="I18" s="48">
        <f>IFERROR(List5[[#This Row],[QTY]]*List5[[#This Row],[UNIT PRICE]],"")</f>
        <v>2.99</v>
      </c>
      <c r="J18" s="49"/>
      <c r="K18" s="40"/>
      <c r="L18" s="52"/>
      <c r="M18" s="42"/>
    </row>
    <row r="19" spans="1:13" s="43" customFormat="1" ht="30" customHeight="1">
      <c r="A19" s="38"/>
      <c r="B19" s="44"/>
      <c r="C19" s="45" t="s">
        <v>101</v>
      </c>
      <c r="D19" s="46" t="s">
        <v>71</v>
      </c>
      <c r="E19" s="46" t="s">
        <v>91</v>
      </c>
      <c r="F19" s="46">
        <v>1</v>
      </c>
      <c r="G19" s="46" t="s">
        <v>98</v>
      </c>
      <c r="H19" s="47">
        <v>4.99</v>
      </c>
      <c r="I19" s="48">
        <f>IFERROR(List5[[#This Row],[QTY]]*List5[[#This Row],[UNIT PRICE]],"")</f>
        <v>4.99</v>
      </c>
      <c r="J19" s="49" t="s">
        <v>102</v>
      </c>
      <c r="K19" s="40"/>
      <c r="L19" s="61" t="str">
        <f>[1]calculations!M4</f>
        <v>GROCERY TOTAL</v>
      </c>
      <c r="M19" s="51"/>
    </row>
    <row r="20" spans="1:13" s="43" customFormat="1" ht="30" customHeight="1">
      <c r="A20" s="38"/>
      <c r="B20" s="44"/>
      <c r="C20" s="45" t="s">
        <v>103</v>
      </c>
      <c r="D20" s="46" t="s">
        <v>80</v>
      </c>
      <c r="E20" s="46" t="s">
        <v>104</v>
      </c>
      <c r="F20" s="46">
        <v>10</v>
      </c>
      <c r="G20" s="46" t="s">
        <v>73</v>
      </c>
      <c r="H20" s="47">
        <v>7.99</v>
      </c>
      <c r="I20" s="48">
        <f>IFERROR(List5[[#This Row],[QTY]]*List5[[#This Row],[UNIT PRICE]],"")</f>
        <v>79.900000000000006</v>
      </c>
      <c r="J20" s="49" t="s">
        <v>105</v>
      </c>
      <c r="K20" s="40"/>
      <c r="L20" s="62">
        <f>GroceryTotal</f>
        <v>271</v>
      </c>
      <c r="M20" s="51"/>
    </row>
    <row r="21" spans="1:13" s="43" customFormat="1" ht="30" customHeight="1">
      <c r="A21" s="38"/>
      <c r="B21" s="44"/>
      <c r="C21" s="45" t="s">
        <v>106</v>
      </c>
      <c r="D21" s="46" t="s">
        <v>107</v>
      </c>
      <c r="E21" s="46" t="s">
        <v>108</v>
      </c>
      <c r="F21" s="46">
        <v>6</v>
      </c>
      <c r="G21" s="46" t="s">
        <v>73</v>
      </c>
      <c r="H21" s="47">
        <v>8.99</v>
      </c>
      <c r="I21" s="48">
        <f>IFERROR(List5[[#This Row],[QTY]]*List5[[#This Row],[UNIT PRICE]],"")</f>
        <v>53.94</v>
      </c>
      <c r="J21" s="49"/>
      <c r="K21" s="40"/>
      <c r="L21" s="63"/>
      <c r="M21" s="64"/>
    </row>
    <row r="22" spans="1:13" s="43" customFormat="1" ht="30" customHeight="1">
      <c r="A22" s="38"/>
      <c r="B22" s="44"/>
      <c r="C22" s="45" t="s">
        <v>109</v>
      </c>
      <c r="D22" s="46" t="s">
        <v>107</v>
      </c>
      <c r="E22" s="46" t="s">
        <v>108</v>
      </c>
      <c r="F22" s="46">
        <v>5</v>
      </c>
      <c r="G22" s="46" t="s">
        <v>73</v>
      </c>
      <c r="H22" s="47">
        <v>10.99</v>
      </c>
      <c r="I22" s="48">
        <f>IFERROR(List5[[#This Row],[QTY]]*List5[[#This Row],[UNIT PRICE]],"")</f>
        <v>54.95</v>
      </c>
      <c r="J22" s="49"/>
      <c r="K22" s="40"/>
      <c r="L22" s="63"/>
      <c r="M22" s="64"/>
    </row>
    <row r="23" spans="1:13" s="43" customFormat="1" ht="30" customHeight="1">
      <c r="A23" s="3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63"/>
      <c r="M23" s="64"/>
    </row>
    <row r="24" spans="1:13" s="43" customFormat="1" ht="30" customHeight="1">
      <c r="A24" s="3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63"/>
      <c r="M24" s="64"/>
    </row>
    <row r="25" spans="1:13" s="43" customFormat="1" ht="30" customHeight="1">
      <c r="A25" s="38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63"/>
      <c r="M25" s="64"/>
    </row>
    <row r="26" spans="1:13" s="43" customFormat="1" ht="30" customHeight="1">
      <c r="A26" s="38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63"/>
      <c r="M26" s="64"/>
    </row>
    <row r="27" spans="1:13" s="43" customFormat="1" ht="30" customHeight="1">
      <c r="A27" s="38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63"/>
      <c r="M27" s="64"/>
    </row>
    <row r="28" spans="1:13" s="43" customFormat="1" ht="30" customHeight="1">
      <c r="A28" s="38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63"/>
      <c r="M28" s="64"/>
    </row>
    <row r="29" spans="1:13" s="43" customFormat="1" ht="30" customHeight="1">
      <c r="A29" s="38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63"/>
      <c r="M29" s="64"/>
    </row>
    <row r="30" spans="1:13" s="43" customFormat="1" ht="30" customHeight="1">
      <c r="A30" s="38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63"/>
      <c r="M30" s="64"/>
    </row>
  </sheetData>
  <dataValidations count="17">
    <dataValidation allowBlank="1" showInputMessage="1" showErrorMessage="1" prompt="Total for all grocery items is calculated in the cell below" sqref="L19" xr:uid="{AD1BE699-C00C-4FE0-9A6E-70CF137F6D2D}"/>
    <dataValidation allowBlank="1" showInputMessage="1" showErrorMessage="1" prompt="Price subtotal for other items not included in the first four categories is automatically summed up in the cell below" sqref="L16" xr:uid="{78E0B6FD-E004-465C-A311-FB1CCBAA9BBA}"/>
    <dataValidation allowBlank="1" showInputMessage="1" showErrorMessage="1" prompt="Category with the fourth highest price subtotal automatically appears here. Price subtotal is in below cell." sqref="L13" xr:uid="{DCD9CFBC-6F7E-4525-A54C-3AD2A03BFE32}"/>
    <dataValidation allowBlank="1" showInputMessage="1" showErrorMessage="1" prompt="Category with the third highest price subtotal automatically appears here. Price subtotal is in below cell." sqref="L10" xr:uid="{8F6CCA1B-7FD0-475A-A96D-38417BEA1CFC}"/>
    <dataValidation allowBlank="1" showInputMessage="1" showErrorMessage="1" prompt="Category with the second highest price subtotal automatically appears here. Price subtotal is in below cell." sqref="L7" xr:uid="{4E75BC95-85D1-4C5D-8982-D01F8319F158}"/>
    <dataValidation allowBlank="1" showInputMessage="1" showErrorMessage="1" prompt="Category with the highest price subtotal automatically appears here. Price subtotal is in below cell." sqref="L4" xr:uid="{C745CE3C-7CBA-486F-B497-2FDA3D4AB52C}"/>
    <dataValidation allowBlank="1" showInputMessage="1" showErrorMessage="1" prompt="Use this worksheet to create a grocery list. Enter grocery details in the table starting in cell B4. Category totals are automatically updated in column L._x000a__x000a_To insert or delete rows, please use the Insert Table Rows or Delete Table Rows function." sqref="A1" xr:uid="{0EC92A90-7923-4A6C-BA69-5F4CE0442FE6}"/>
    <dataValidation allowBlank="1" showInputMessage="1" showErrorMessage="1" prompt="Title of this worksheet is in this cell" sqref="B3" xr:uid="{C3DF0854-90AC-4DB6-99A2-09D08E96342B}"/>
    <dataValidation allowBlank="1" showInputMessage="1" showErrorMessage="1" prompt="Enter Comment in this column under this heading" sqref="J4" xr:uid="{1323FEA5-A251-48A1-8F87-3B4598F045AE}"/>
    <dataValidation allowBlank="1" showInputMessage="1" showErrorMessage="1" prompt="Total is automatically calculated in this column under this heading" sqref="I4" xr:uid="{E3F333D1-1D55-417B-9B5F-575CB1B2EA5E}"/>
    <dataValidation allowBlank="1" showInputMessage="1" showErrorMessage="1" prompt="Enter Unit Price in this column under this heading" sqref="H4" xr:uid="{906D53B5-5540-4400-8030-7663F2BDC133}"/>
    <dataValidation allowBlank="1" showInputMessage="1" showErrorMessage="1" prompt="Enter Unit in this column under this heading" sqref="G4" xr:uid="{BB536BC1-150C-463C-AAEE-FE0738DF7CA6}"/>
    <dataValidation allowBlank="1" showInputMessage="1" showErrorMessage="1" prompt="Enter Quantity in this column under this heading" sqref="F4" xr:uid="{78DA0603-9697-47F3-9FE4-A2A53F06DF4D}"/>
    <dataValidation allowBlank="1" showInputMessage="1" showErrorMessage="1" prompt="Enter Category in this column under this heading" sqref="E4" xr:uid="{0995D7EB-9564-48FF-A584-790FA8009640}"/>
    <dataValidation allowBlank="1" showInputMessage="1" showErrorMessage="1" prompt="Enter Store type in this column under this heading" sqref="D4" xr:uid="{7B60ADF4-E935-4DAA-8368-575231F693A9}"/>
    <dataValidation allowBlank="1" showInputMessage="1" showErrorMessage="1" prompt="Enter Item in this column under this heading" sqref="C4" xr:uid="{8352EE65-ADB0-476C-81DC-DA91D1329275}"/>
    <dataValidation allowBlank="1" showInputMessage="1" showErrorMessage="1" prompt="Enter a number greater than 0 in this column under this heading to mark item as bought" sqref="B4" xr:uid="{F0C2C65D-5E72-49E0-8CA7-AB3684A7DFEE}"/>
  </dataValidations>
  <printOptions horizontalCentered="1"/>
  <pageMargins left="0.3" right="0.3" top="0.5" bottom="0.5" header="0.3" footer="0.3"/>
  <pageSetup scale="41" fitToHeight="0" orientation="portrait" r:id="rId1"/>
  <headerFooter differentFirst="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53BA690-4923-467B-ACE0-BA6073BA0352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B5:B22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457D-AE22-44D3-9A0A-85C5794C1AF7}">
  <sheetPr>
    <tabColor theme="4"/>
    <pageSetUpPr fitToPage="1"/>
  </sheetPr>
  <dimension ref="A1:M30"/>
  <sheetViews>
    <sheetView showGridLines="0" topLeftCell="A2" zoomScaleNormal="100" workbookViewId="0">
      <selection activeCell="E5" sqref="E5:E22"/>
    </sheetView>
  </sheetViews>
  <sheetFormatPr defaultColWidth="9.5546875" defaultRowHeight="21" customHeight="1"/>
  <cols>
    <col min="1" max="1" width="3.44140625" style="65" customWidth="1"/>
    <col min="2" max="2" width="13.44140625" style="66" customWidth="1"/>
    <col min="3" max="3" width="38.44140625" style="66" customWidth="1"/>
    <col min="4" max="5" width="23.44140625" style="66" customWidth="1"/>
    <col min="6" max="6" width="13.44140625" style="66" customWidth="1"/>
    <col min="7" max="7" width="16" style="66" customWidth="1"/>
    <col min="8" max="8" width="23.44140625" style="66" customWidth="1"/>
    <col min="9" max="9" width="16" style="66" customWidth="1"/>
    <col min="10" max="10" width="38.44140625" style="66" customWidth="1"/>
    <col min="11" max="11" width="3.44140625" style="66" customWidth="1"/>
    <col min="12" max="12" width="32.21875" style="67" customWidth="1"/>
    <col min="13" max="13" width="3.44140625" style="28" customWidth="1"/>
    <col min="14" max="14" width="3.44140625" style="29" customWidth="1"/>
    <col min="15" max="16384" width="9.5546875" style="29"/>
  </cols>
  <sheetData>
    <row r="1" spans="1:13" ht="19.95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7" t="str">
        <f>[1]calculations!M9</f>
        <v>DAIRY TOTAL</v>
      </c>
      <c r="M1" s="28" t="s">
        <v>59</v>
      </c>
    </row>
    <row r="2" spans="1:13" ht="169.95" customHeight="1">
      <c r="A2" s="25"/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3" s="32" customFormat="1" ht="70.2" customHeight="1">
      <c r="B3" s="33" t="s">
        <v>179</v>
      </c>
      <c r="C3" s="34"/>
      <c r="D3" s="35"/>
      <c r="E3" s="35"/>
      <c r="F3" s="35"/>
      <c r="G3" s="35"/>
      <c r="H3" s="35"/>
      <c r="I3" s="35"/>
      <c r="J3" s="35"/>
      <c r="K3" s="35"/>
      <c r="L3" s="36"/>
      <c r="M3" s="37"/>
    </row>
    <row r="4" spans="1:13" s="43" customFormat="1" ht="30" customHeight="1">
      <c r="A4" s="38"/>
      <c r="B4" s="39" t="s">
        <v>180</v>
      </c>
      <c r="C4" s="39" t="s">
        <v>181</v>
      </c>
      <c r="D4" s="39" t="s">
        <v>182</v>
      </c>
      <c r="E4" s="39" t="s">
        <v>185</v>
      </c>
      <c r="F4" s="178" t="s">
        <v>189</v>
      </c>
      <c r="G4" s="178" t="s">
        <v>188</v>
      </c>
      <c r="H4" s="39" t="s">
        <v>187</v>
      </c>
      <c r="I4" s="39" t="s">
        <v>68</v>
      </c>
      <c r="J4" s="39" t="s">
        <v>69</v>
      </c>
      <c r="K4" s="40"/>
      <c r="L4" s="41" t="str">
        <f>[1]calculations!M6</f>
        <v>SEAFOOD TOTAL</v>
      </c>
      <c r="M4" s="42"/>
    </row>
    <row r="5" spans="1:13" s="43" customFormat="1" ht="30" customHeight="1">
      <c r="A5" s="38"/>
      <c r="B5" s="180" t="s">
        <v>191</v>
      </c>
      <c r="C5" s="176" t="s">
        <v>183</v>
      </c>
      <c r="D5" s="177" t="s">
        <v>184</v>
      </c>
      <c r="E5" s="177" t="s">
        <v>186</v>
      </c>
      <c r="F5" s="46">
        <v>0</v>
      </c>
      <c r="G5" s="177" t="s">
        <v>190</v>
      </c>
      <c r="H5" s="179" t="s">
        <v>190</v>
      </c>
      <c r="I5" s="48" t="str">
        <f>IFERROR(List7[[#This Row],[DIFFICULTY
LEVEL(10)]]*List7[[#This Row],[TIME SPEND (minutes)]],"")</f>
        <v/>
      </c>
      <c r="J5" s="49"/>
      <c r="K5" s="40"/>
      <c r="L5" s="50">
        <f>[1]calculations!L6</f>
        <v>109</v>
      </c>
      <c r="M5" s="51"/>
    </row>
    <row r="6" spans="1:13" s="43" customFormat="1" ht="30" customHeight="1">
      <c r="A6" s="38"/>
      <c r="B6" s="180" t="s">
        <v>191</v>
      </c>
      <c r="C6" s="176" t="s">
        <v>183</v>
      </c>
      <c r="D6" s="177" t="s">
        <v>192</v>
      </c>
      <c r="E6" s="177" t="s">
        <v>186</v>
      </c>
      <c r="F6" s="46">
        <v>1</v>
      </c>
      <c r="G6" s="177" t="s">
        <v>190</v>
      </c>
      <c r="H6" s="179" t="s">
        <v>190</v>
      </c>
      <c r="I6" s="48" t="str">
        <f>IFERROR(List7[[#This Row],[DIFFICULTY
LEVEL(10)]]*List7[[#This Row],[TIME SPEND (minutes)]],"")</f>
        <v/>
      </c>
      <c r="J6" s="49"/>
      <c r="K6" s="40"/>
      <c r="L6" s="52"/>
      <c r="M6" s="42"/>
    </row>
    <row r="7" spans="1:13" s="43" customFormat="1" ht="30" customHeight="1">
      <c r="A7" s="38"/>
      <c r="B7" s="180" t="s">
        <v>191</v>
      </c>
      <c r="C7" s="176" t="s">
        <v>183</v>
      </c>
      <c r="D7" s="177" t="s">
        <v>193</v>
      </c>
      <c r="E7" s="177" t="s">
        <v>186</v>
      </c>
      <c r="F7" s="46">
        <v>2</v>
      </c>
      <c r="G7" s="177" t="s">
        <v>190</v>
      </c>
      <c r="H7" s="179" t="s">
        <v>190</v>
      </c>
      <c r="I7" s="48" t="str">
        <f>IFERROR(List7[[#This Row],[DIFFICULTY
LEVEL(10)]]*List7[[#This Row],[TIME SPEND (minutes)]],"")</f>
        <v/>
      </c>
      <c r="J7" s="49"/>
      <c r="K7" s="40"/>
      <c r="L7" s="53" t="str">
        <f>[1]calculations!M7</f>
        <v>MEAT TOTAL</v>
      </c>
      <c r="M7" s="42"/>
    </row>
    <row r="8" spans="1:13" s="43" customFormat="1" ht="30" customHeight="1">
      <c r="A8" s="38"/>
      <c r="B8" s="180" t="s">
        <v>191</v>
      </c>
      <c r="C8" s="176" t="s">
        <v>183</v>
      </c>
      <c r="D8" s="177" t="s">
        <v>194</v>
      </c>
      <c r="E8" s="177" t="s">
        <v>186</v>
      </c>
      <c r="F8" s="46">
        <v>3</v>
      </c>
      <c r="G8" s="177" t="s">
        <v>190</v>
      </c>
      <c r="H8" s="179" t="s">
        <v>190</v>
      </c>
      <c r="I8" s="48" t="str">
        <f>IFERROR(List7[[#This Row],[DIFFICULTY
LEVEL(10)]]*List7[[#This Row],[TIME SPEND (minutes)]],"")</f>
        <v/>
      </c>
      <c r="J8" s="49"/>
      <c r="K8" s="40"/>
      <c r="L8" s="54">
        <f>[1]calculations!L7</f>
        <v>80</v>
      </c>
      <c r="M8" s="42"/>
    </row>
    <row r="9" spans="1:13" s="43" customFormat="1" ht="30" customHeight="1">
      <c r="A9" s="38"/>
      <c r="B9" s="44"/>
      <c r="C9" s="45" t="s">
        <v>82</v>
      </c>
      <c r="D9" s="46" t="s">
        <v>80</v>
      </c>
      <c r="E9" s="46" t="s">
        <v>72</v>
      </c>
      <c r="F9" s="46">
        <v>4</v>
      </c>
      <c r="G9" s="46" t="s">
        <v>73</v>
      </c>
      <c r="H9" s="47">
        <v>3.49</v>
      </c>
      <c r="I9" s="48">
        <f>IFERROR(List7[[#This Row],[DIFFICULTY
LEVEL(10)]]*List7[[#This Row],[TIME SPEND (minutes)]],"")</f>
        <v>13.96</v>
      </c>
      <c r="J9" s="49"/>
      <c r="K9" s="40"/>
      <c r="L9" s="52"/>
      <c r="M9" s="42"/>
    </row>
    <row r="10" spans="1:13" s="43" customFormat="1" ht="30" customHeight="1">
      <c r="A10" s="38"/>
      <c r="B10" s="44"/>
      <c r="C10" s="45" t="s">
        <v>83</v>
      </c>
      <c r="D10" s="46" t="s">
        <v>80</v>
      </c>
      <c r="E10" s="46" t="s">
        <v>72</v>
      </c>
      <c r="F10" s="46">
        <v>2</v>
      </c>
      <c r="G10" s="46" t="s">
        <v>84</v>
      </c>
      <c r="H10" s="47">
        <v>1.5</v>
      </c>
      <c r="I10" s="48">
        <f>IFERROR(List7[[#This Row],[DIFFICULTY
LEVEL(10)]]*List7[[#This Row],[TIME SPEND (minutes)]],"")</f>
        <v>3</v>
      </c>
      <c r="J10" s="49"/>
      <c r="K10" s="40"/>
      <c r="L10" s="55" t="str">
        <f>[1]calculations!M8</f>
        <v>PRODUCE TOTAL</v>
      </c>
      <c r="M10" s="42"/>
    </row>
    <row r="11" spans="1:13" s="43" customFormat="1" ht="30" customHeight="1">
      <c r="A11" s="38"/>
      <c r="B11" s="44">
        <v>1</v>
      </c>
      <c r="C11" s="45" t="s">
        <v>85</v>
      </c>
      <c r="D11" s="46" t="s">
        <v>71</v>
      </c>
      <c r="E11" s="46" t="s">
        <v>72</v>
      </c>
      <c r="F11" s="46">
        <v>2</v>
      </c>
      <c r="G11" s="46" t="s">
        <v>78</v>
      </c>
      <c r="H11" s="47">
        <v>1.99</v>
      </c>
      <c r="I11" s="48">
        <f>IFERROR(List7[[#This Row],[DIFFICULTY
LEVEL(10)]]*List7[[#This Row],[TIME SPEND (minutes)]],"")</f>
        <v>3.98</v>
      </c>
      <c r="J11" s="49"/>
      <c r="K11" s="40"/>
      <c r="L11" s="56">
        <f>[1]calculations!L8</f>
        <v>45</v>
      </c>
      <c r="M11" s="42"/>
    </row>
    <row r="12" spans="1:13" s="43" customFormat="1" ht="30" customHeight="1">
      <c r="A12" s="38"/>
      <c r="B12" s="44"/>
      <c r="C12" s="45" t="s">
        <v>86</v>
      </c>
      <c r="D12" s="46" t="s">
        <v>80</v>
      </c>
      <c r="E12" s="46" t="s">
        <v>72</v>
      </c>
      <c r="F12" s="46">
        <v>1</v>
      </c>
      <c r="G12" s="46" t="s">
        <v>73</v>
      </c>
      <c r="H12" s="47">
        <v>2.29</v>
      </c>
      <c r="I12" s="48">
        <f>IFERROR(List7[[#This Row],[DIFFICULTY
LEVEL(10)]]*List7[[#This Row],[TIME SPEND (minutes)]],"")</f>
        <v>2.29</v>
      </c>
      <c r="J12" s="49"/>
      <c r="K12" s="40"/>
      <c r="L12" s="52"/>
      <c r="M12" s="42"/>
    </row>
    <row r="13" spans="1:13" s="43" customFormat="1" ht="30" customHeight="1">
      <c r="A13" s="38"/>
      <c r="B13" s="44"/>
      <c r="C13" s="45" t="s">
        <v>87</v>
      </c>
      <c r="D13" s="46" t="s">
        <v>71</v>
      </c>
      <c r="E13" s="46" t="s">
        <v>72</v>
      </c>
      <c r="F13" s="46">
        <v>0.5</v>
      </c>
      <c r="G13" s="46" t="s">
        <v>73</v>
      </c>
      <c r="H13" s="47">
        <v>2.25</v>
      </c>
      <c r="I13" s="48">
        <f>IFERROR(List7[[#This Row],[DIFFICULTY
LEVEL(10)]]*List7[[#This Row],[TIME SPEND (minutes)]],"")</f>
        <v>1.125</v>
      </c>
      <c r="J13" s="49" t="s">
        <v>88</v>
      </c>
      <c r="K13" s="40"/>
      <c r="L13" s="57" t="str">
        <f>[1]calculations!M9</f>
        <v>DAIRY TOTAL</v>
      </c>
      <c r="M13" s="42"/>
    </row>
    <row r="14" spans="1:13" s="43" customFormat="1" ht="30" customHeight="1">
      <c r="A14" s="38"/>
      <c r="B14" s="44"/>
      <c r="C14" s="45" t="s">
        <v>89</v>
      </c>
      <c r="D14" s="46" t="s">
        <v>90</v>
      </c>
      <c r="E14" s="46" t="s">
        <v>91</v>
      </c>
      <c r="F14" s="46">
        <v>2</v>
      </c>
      <c r="G14" s="46" t="s">
        <v>92</v>
      </c>
      <c r="H14" s="47">
        <v>3.99</v>
      </c>
      <c r="I14" s="48">
        <f>IFERROR(List7[[#This Row],[DIFFICULTY
LEVEL(10)]]*List7[[#This Row],[TIME SPEND (minutes)]],"")</f>
        <v>7.98</v>
      </c>
      <c r="J14" s="49"/>
      <c r="K14" s="40"/>
      <c r="L14" s="58">
        <f>[1]calculations!L9</f>
        <v>37</v>
      </c>
      <c r="M14" s="42"/>
    </row>
    <row r="15" spans="1:13" s="43" customFormat="1" ht="30" customHeight="1">
      <c r="A15" s="38"/>
      <c r="B15" s="44"/>
      <c r="C15" s="45" t="s">
        <v>93</v>
      </c>
      <c r="D15" s="46" t="s">
        <v>90</v>
      </c>
      <c r="E15" s="46" t="s">
        <v>91</v>
      </c>
      <c r="F15" s="46">
        <v>1</v>
      </c>
      <c r="G15" s="46" t="s">
        <v>73</v>
      </c>
      <c r="H15" s="47">
        <v>9.99</v>
      </c>
      <c r="I15" s="48">
        <f>IFERROR(List7[[#This Row],[DIFFICULTY
LEVEL(10)]]*List7[[#This Row],[TIME SPEND (minutes)]],"")</f>
        <v>9.99</v>
      </c>
      <c r="J15" s="49" t="s">
        <v>94</v>
      </c>
      <c r="K15" s="40"/>
      <c r="L15" s="52"/>
      <c r="M15" s="42"/>
    </row>
    <row r="16" spans="1:13" s="43" customFormat="1" ht="30" customHeight="1">
      <c r="A16" s="38"/>
      <c r="B16" s="44"/>
      <c r="C16" s="45" t="s">
        <v>95</v>
      </c>
      <c r="D16" s="46" t="s">
        <v>90</v>
      </c>
      <c r="E16" s="46" t="s">
        <v>91</v>
      </c>
      <c r="F16" s="46">
        <v>2</v>
      </c>
      <c r="G16" s="46" t="s">
        <v>96</v>
      </c>
      <c r="H16" s="47">
        <v>3.5</v>
      </c>
      <c r="I16" s="48">
        <f>IFERROR(List7[[#This Row],[DIFFICULTY
LEVEL(10)]]*List7[[#This Row],[TIME SPEND (minutes)]],"")</f>
        <v>7</v>
      </c>
      <c r="J16" s="49"/>
      <c r="K16" s="40"/>
      <c r="L16" s="59" t="str">
        <f>[1]calculations!M3</f>
        <v>OTHER TOTAL</v>
      </c>
      <c r="M16" s="42"/>
    </row>
    <row r="17" spans="1:13" s="43" customFormat="1" ht="30" customHeight="1">
      <c r="A17" s="38"/>
      <c r="B17" s="44"/>
      <c r="C17" s="45" t="s">
        <v>97</v>
      </c>
      <c r="D17" s="46" t="s">
        <v>90</v>
      </c>
      <c r="E17" s="46" t="s">
        <v>91</v>
      </c>
      <c r="F17" s="46">
        <v>1</v>
      </c>
      <c r="G17" s="46" t="s">
        <v>98</v>
      </c>
      <c r="H17" s="47">
        <v>3.89</v>
      </c>
      <c r="I17" s="48">
        <f>IFERROR(List7[[#This Row],[DIFFICULTY
LEVEL(10)]]*List7[[#This Row],[TIME SPEND (minutes)]],"")</f>
        <v>3.89</v>
      </c>
      <c r="J17" s="49"/>
      <c r="K17" s="40"/>
      <c r="L17" s="60">
        <f>[1]calculations!L3</f>
        <v>0</v>
      </c>
      <c r="M17" s="42"/>
    </row>
    <row r="18" spans="1:13" s="43" customFormat="1" ht="30" customHeight="1">
      <c r="A18" s="38"/>
      <c r="B18" s="44"/>
      <c r="C18" s="45" t="s">
        <v>99</v>
      </c>
      <c r="D18" s="46" t="s">
        <v>90</v>
      </c>
      <c r="E18" s="46" t="s">
        <v>91</v>
      </c>
      <c r="F18" s="46">
        <v>1</v>
      </c>
      <c r="G18" s="46" t="s">
        <v>100</v>
      </c>
      <c r="H18" s="47">
        <v>2.99</v>
      </c>
      <c r="I18" s="48">
        <f>IFERROR(List7[[#This Row],[DIFFICULTY
LEVEL(10)]]*List7[[#This Row],[TIME SPEND (minutes)]],"")</f>
        <v>2.99</v>
      </c>
      <c r="J18" s="49"/>
      <c r="K18" s="40"/>
      <c r="L18" s="52"/>
      <c r="M18" s="42"/>
    </row>
    <row r="19" spans="1:13" s="43" customFormat="1" ht="30" customHeight="1">
      <c r="A19" s="38"/>
      <c r="B19" s="44"/>
      <c r="C19" s="45" t="s">
        <v>101</v>
      </c>
      <c r="D19" s="46" t="s">
        <v>71</v>
      </c>
      <c r="E19" s="46" t="s">
        <v>91</v>
      </c>
      <c r="F19" s="46">
        <v>1</v>
      </c>
      <c r="G19" s="46" t="s">
        <v>98</v>
      </c>
      <c r="H19" s="47">
        <v>4.99</v>
      </c>
      <c r="I19" s="48">
        <f>IFERROR(List7[[#This Row],[DIFFICULTY
LEVEL(10)]]*List7[[#This Row],[TIME SPEND (minutes)]],"")</f>
        <v>4.99</v>
      </c>
      <c r="J19" s="49" t="s">
        <v>102</v>
      </c>
      <c r="K19" s="40"/>
      <c r="L19" s="61" t="str">
        <f>[1]calculations!M4</f>
        <v>GROCERY TOTAL</v>
      </c>
      <c r="M19" s="51"/>
    </row>
    <row r="20" spans="1:13" s="43" customFormat="1" ht="30" customHeight="1">
      <c r="A20" s="38"/>
      <c r="B20" s="44"/>
      <c r="C20" s="45" t="s">
        <v>103</v>
      </c>
      <c r="D20" s="46" t="s">
        <v>80</v>
      </c>
      <c r="E20" s="46" t="s">
        <v>104</v>
      </c>
      <c r="F20" s="46">
        <v>10</v>
      </c>
      <c r="G20" s="46" t="s">
        <v>73</v>
      </c>
      <c r="H20" s="47">
        <v>7.99</v>
      </c>
      <c r="I20" s="48">
        <f>IFERROR(List7[[#This Row],[DIFFICULTY
LEVEL(10)]]*List7[[#This Row],[TIME SPEND (minutes)]],"")</f>
        <v>79.900000000000006</v>
      </c>
      <c r="J20" s="49" t="s">
        <v>105</v>
      </c>
      <c r="K20" s="40"/>
      <c r="L20" s="62">
        <f>GroceryTotal</f>
        <v>271</v>
      </c>
      <c r="M20" s="51"/>
    </row>
    <row r="21" spans="1:13" s="43" customFormat="1" ht="30" customHeight="1">
      <c r="A21" s="38"/>
      <c r="B21" s="44"/>
      <c r="C21" s="45" t="s">
        <v>106</v>
      </c>
      <c r="D21" s="46" t="s">
        <v>107</v>
      </c>
      <c r="E21" s="46" t="s">
        <v>108</v>
      </c>
      <c r="F21" s="46">
        <v>6</v>
      </c>
      <c r="G21" s="46" t="s">
        <v>73</v>
      </c>
      <c r="H21" s="47">
        <v>8.99</v>
      </c>
      <c r="I21" s="48">
        <f>IFERROR(List7[[#This Row],[DIFFICULTY
LEVEL(10)]]*List7[[#This Row],[TIME SPEND (minutes)]],"")</f>
        <v>53.94</v>
      </c>
      <c r="J21" s="49"/>
      <c r="K21" s="40"/>
      <c r="L21" s="63"/>
      <c r="M21" s="64"/>
    </row>
    <row r="22" spans="1:13" s="43" customFormat="1" ht="30" customHeight="1">
      <c r="A22" s="38"/>
      <c r="B22" s="44"/>
      <c r="C22" s="45" t="s">
        <v>109</v>
      </c>
      <c r="D22" s="46" t="s">
        <v>107</v>
      </c>
      <c r="E22" s="46" t="s">
        <v>108</v>
      </c>
      <c r="F22" s="46">
        <v>5</v>
      </c>
      <c r="G22" s="46" t="s">
        <v>73</v>
      </c>
      <c r="H22" s="47">
        <v>10.99</v>
      </c>
      <c r="I22" s="48">
        <f>IFERROR(List7[[#This Row],[DIFFICULTY
LEVEL(10)]]*List7[[#This Row],[TIME SPEND (minutes)]],"")</f>
        <v>54.95</v>
      </c>
      <c r="J22" s="49"/>
      <c r="K22" s="40"/>
      <c r="L22" s="63"/>
      <c r="M22" s="64"/>
    </row>
    <row r="23" spans="1:13" s="43" customFormat="1" ht="30" customHeight="1">
      <c r="A23" s="3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63"/>
      <c r="M23" s="64"/>
    </row>
    <row r="24" spans="1:13" s="43" customFormat="1" ht="30" customHeight="1">
      <c r="A24" s="3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63"/>
      <c r="M24" s="64"/>
    </row>
    <row r="25" spans="1:13" s="43" customFormat="1" ht="30" customHeight="1">
      <c r="A25" s="38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63"/>
      <c r="M25" s="64"/>
    </row>
    <row r="26" spans="1:13" s="43" customFormat="1" ht="30" customHeight="1">
      <c r="A26" s="38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63"/>
      <c r="M26" s="64"/>
    </row>
    <row r="27" spans="1:13" s="43" customFormat="1" ht="30" customHeight="1">
      <c r="A27" s="38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63"/>
      <c r="M27" s="64"/>
    </row>
    <row r="28" spans="1:13" s="43" customFormat="1" ht="30" customHeight="1">
      <c r="A28" s="38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63"/>
      <c r="M28" s="64"/>
    </row>
    <row r="29" spans="1:13" s="43" customFormat="1" ht="30" customHeight="1">
      <c r="A29" s="38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63"/>
      <c r="M29" s="64"/>
    </row>
    <row r="30" spans="1:13" s="43" customFormat="1" ht="30" customHeight="1">
      <c r="A30" s="38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63"/>
      <c r="M30" s="64"/>
    </row>
  </sheetData>
  <dataValidations count="17">
    <dataValidation allowBlank="1" showInputMessage="1" showErrorMessage="1" prompt="Total for all grocery items is calculated in the cell below" sqref="L19" xr:uid="{CAC629F3-9024-4B77-A820-BF891F47977A}"/>
    <dataValidation allowBlank="1" showInputMessage="1" showErrorMessage="1" prompt="Price subtotal for other items not included in the first four categories is automatically summed up in the cell below" sqref="L16" xr:uid="{7A98E477-9941-4140-A8ED-0D5DF97A7B73}"/>
    <dataValidation allowBlank="1" showInputMessage="1" showErrorMessage="1" prompt="Category with the fourth highest price subtotal automatically appears here. Price subtotal is in below cell." sqref="L13" xr:uid="{51FBB2E6-9433-4418-8148-253D6AD76D64}"/>
    <dataValidation allowBlank="1" showInputMessage="1" showErrorMessage="1" prompt="Category with the third highest price subtotal automatically appears here. Price subtotal is in below cell." sqref="L10" xr:uid="{39F60C32-EBBA-420E-9EF1-18FBCE916E14}"/>
    <dataValidation allowBlank="1" showInputMessage="1" showErrorMessage="1" prompt="Category with the second highest price subtotal automatically appears here. Price subtotal is in below cell." sqref="L7" xr:uid="{7D3D57E4-223E-4891-B7AE-44B3AC567895}"/>
    <dataValidation allowBlank="1" showInputMessage="1" showErrorMessage="1" prompt="Category with the highest price subtotal automatically appears here. Price subtotal is in below cell." sqref="L4" xr:uid="{73F1796F-676D-4919-813C-11B5BAE233C0}"/>
    <dataValidation allowBlank="1" showInputMessage="1" showErrorMessage="1" prompt="Use this worksheet to create a grocery list. Enter grocery details in the table starting in cell B4. Category totals are automatically updated in column L._x000a__x000a_To insert or delete rows, please use the Insert Table Rows or Delete Table Rows function." sqref="A1" xr:uid="{7B567BE1-0ADF-4212-8DE7-AFE3B849AEDB}"/>
    <dataValidation allowBlank="1" showInputMessage="1" showErrorMessage="1" prompt="Title of this worksheet is in this cell" sqref="B3" xr:uid="{C1F72BDF-0867-4E27-A7C7-EBD794ACA869}"/>
    <dataValidation allowBlank="1" showInputMessage="1" showErrorMessage="1" prompt="Enter Comment in this column under this heading" sqref="J4" xr:uid="{058205DD-0255-4E1D-8A06-B57C3F80F85B}"/>
    <dataValidation allowBlank="1" showInputMessage="1" showErrorMessage="1" prompt="Total is automatically calculated in this column under this heading" sqref="I4" xr:uid="{971DA72A-3128-4999-8C64-0F3CFC6A3142}"/>
    <dataValidation allowBlank="1" showInputMessage="1" showErrorMessage="1" prompt="Enter Unit Price in this column under this heading" sqref="H4" xr:uid="{A2559B06-15F7-4CC1-B114-91AB07ED10F3}"/>
    <dataValidation allowBlank="1" showInputMessage="1" showErrorMessage="1" prompt="Enter Unit in this column under this heading" sqref="G4" xr:uid="{E8C76A59-AB24-44DF-B21E-4C8832BBF9DF}"/>
    <dataValidation allowBlank="1" showInputMessage="1" showErrorMessage="1" prompt="Enter Quantity in this column under this heading" sqref="F4" xr:uid="{7B262C1D-CFA4-461E-AE34-AAC6B78689D8}"/>
    <dataValidation allowBlank="1" showInputMessage="1" showErrorMessage="1" prompt="Enter Category in this column under this heading" sqref="E4" xr:uid="{57A1EA55-4FAE-45DD-A213-62980702067A}"/>
    <dataValidation allowBlank="1" showInputMessage="1" showErrorMessage="1" prompt="Enter Store type in this column under this heading" sqref="D4" xr:uid="{1EAE684F-A315-4DF6-9E04-9A985DF1BF68}"/>
    <dataValidation allowBlank="1" showInputMessage="1" showErrorMessage="1" prompt="Enter Item in this column under this heading" sqref="C4" xr:uid="{0C82FF0C-B7FD-413D-8C96-188CD369B208}"/>
    <dataValidation allowBlank="1" showInputMessage="1" showErrorMessage="1" prompt="Enter a number greater than 0 in this column under this heading to mark item as bought" sqref="B4" xr:uid="{AD4AB477-1B52-4A26-AC00-94088F60A73C}"/>
  </dataValidations>
  <printOptions horizontalCentered="1"/>
  <pageMargins left="0.3" right="0.3" top="0.5" bottom="0.5" header="0.3" footer="0.3"/>
  <pageSetup scale="41" fitToHeight="0" orientation="portrait" r:id="rId1"/>
  <headerFooter differentFirst="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21C7E13-B581-413D-BA56-7232D475EC9D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B5:B22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81D0-1E87-4F8D-895F-A52E7DBCD4D9}">
  <sheetPr>
    <tabColor theme="1"/>
    <pageSetUpPr autoPageBreaks="0" fitToPage="1"/>
  </sheetPr>
  <dimension ref="A1:I180"/>
  <sheetViews>
    <sheetView showGridLines="0" zoomScaleNormal="100" workbookViewId="0">
      <selection activeCell="F7" sqref="F7"/>
    </sheetView>
  </sheetViews>
  <sheetFormatPr defaultColWidth="10.44140625" defaultRowHeight="14.4"/>
  <cols>
    <col min="1" max="1" width="3.21875" style="68" customWidth="1"/>
    <col min="2" max="2" width="22" style="68" customWidth="1"/>
    <col min="3" max="7" width="21.44140625" style="68" customWidth="1"/>
    <col min="8" max="8" width="23" style="68" customWidth="1"/>
    <col min="9" max="9" width="3.21875" style="68" customWidth="1"/>
    <col min="10" max="13" width="10.44140625" style="68"/>
    <col min="14" max="14" width="6.6640625" style="68" customWidth="1"/>
    <col min="15" max="16384" width="10.44140625" style="68"/>
  </cols>
  <sheetData>
    <row r="1" spans="1:9" ht="18" customHeight="1"/>
    <row r="2" spans="1:9" s="70" customFormat="1" ht="75" customHeight="1">
      <c r="A2" s="92"/>
      <c r="B2" s="84" t="s">
        <v>112</v>
      </c>
      <c r="D2" s="84"/>
      <c r="E2" s="84"/>
      <c r="F2" s="92"/>
      <c r="G2" s="92"/>
      <c r="H2" s="82">
        <f ca="1">IF(MONTH(TODAY())=12,YEAR(TODAY())+1,YEAR(TODAY()))</f>
        <v>2026</v>
      </c>
    </row>
    <row r="3" spans="1:9" s="70" customFormat="1" ht="25.2" customHeight="1">
      <c r="A3" s="89"/>
      <c r="B3" s="103" t="s">
        <v>111</v>
      </c>
      <c r="C3" s="101" t="str">
        <f t="shared" ref="C3:H3" ca="1" si="0">UPPER(TEXT(C4,"dddd"))</f>
        <v>TUESDAY</v>
      </c>
      <c r="D3" s="102" t="str">
        <f t="shared" ca="1" si="0"/>
        <v>WEDNESDAY</v>
      </c>
      <c r="E3" s="101" t="str">
        <f t="shared" ca="1" si="0"/>
        <v>THURSDAY</v>
      </c>
      <c r="F3" s="102" t="str">
        <f t="shared" ca="1" si="0"/>
        <v>FRIDAY</v>
      </c>
      <c r="G3" s="101" t="str">
        <f t="shared" ca="1" si="0"/>
        <v>SATURDAY</v>
      </c>
      <c r="H3" s="100" t="str">
        <f t="shared" ca="1" si="0"/>
        <v>SUNDAY</v>
      </c>
    </row>
    <row r="4" spans="1:9" s="70" customFormat="1" ht="25.2" customHeight="1">
      <c r="B4" s="77">
        <f t="array" aca="1" ref="B4:H4" ca="1">Days+1+DATE(Calendar1Year,Calendar1MonthOption,1)-WEEKDAY(DATE(Calendar1Year,Calendar1MonthOption,1),WeekdayOption)</f>
        <v>46265</v>
      </c>
      <c r="C4" s="77">
        <f ca="1"/>
        <v>46266</v>
      </c>
      <c r="D4" s="77">
        <f ca="1"/>
        <v>46267</v>
      </c>
      <c r="E4" s="77">
        <f ca="1"/>
        <v>46268</v>
      </c>
      <c r="F4" s="77">
        <f ca="1"/>
        <v>46269</v>
      </c>
      <c r="G4" s="77">
        <f ca="1"/>
        <v>46270</v>
      </c>
      <c r="H4" s="76">
        <f ca="1"/>
        <v>46271</v>
      </c>
    </row>
    <row r="5" spans="1:9" ht="75" customHeight="1">
      <c r="B5" s="73"/>
      <c r="C5" s="73"/>
      <c r="D5" s="73"/>
      <c r="E5" s="73"/>
      <c r="F5" s="73"/>
      <c r="G5" s="73"/>
      <c r="H5" s="75"/>
    </row>
    <row r="6" spans="1:9" s="70" customFormat="1" ht="25.2" customHeight="1">
      <c r="B6" s="71">
        <f t="array" aca="1" ref="B6:H6" ca="1">Days+8+DATE(Calendar1Year,Calendar1MonthOption,1)-WEEKDAY(DATE(Calendar1Year,Calendar1MonthOption,1),WeekdayOption)</f>
        <v>46272</v>
      </c>
      <c r="C6" s="71">
        <f ca="1"/>
        <v>46273</v>
      </c>
      <c r="D6" s="71">
        <f ca="1"/>
        <v>46274</v>
      </c>
      <c r="E6" s="71">
        <f ca="1"/>
        <v>46275</v>
      </c>
      <c r="F6" s="71">
        <f ca="1"/>
        <v>46276</v>
      </c>
      <c r="G6" s="71">
        <f ca="1"/>
        <v>46277</v>
      </c>
      <c r="H6" s="74">
        <f ca="1"/>
        <v>46278</v>
      </c>
    </row>
    <row r="7" spans="1:9" ht="75" customHeight="1">
      <c r="B7" s="73"/>
      <c r="C7" s="73"/>
      <c r="D7" s="73"/>
      <c r="E7" s="73" t="s">
        <v>110</v>
      </c>
      <c r="F7" s="73"/>
      <c r="G7" s="73"/>
      <c r="H7" s="99"/>
    </row>
    <row r="8" spans="1:9" s="70" customFormat="1" ht="25.2" customHeight="1">
      <c r="B8" s="71">
        <f t="array" aca="1" ref="B8:H8" ca="1">Days+15+DATE(Calendar1Year,Calendar1MonthOption,1)-WEEKDAY(DATE(Calendar1Year,Calendar1MonthOption,1),WeekdayOption)</f>
        <v>46279</v>
      </c>
      <c r="C8" s="71">
        <f ca="1"/>
        <v>46280</v>
      </c>
      <c r="D8" s="71">
        <f ca="1"/>
        <v>46281</v>
      </c>
      <c r="E8" s="71">
        <f ca="1"/>
        <v>46282</v>
      </c>
      <c r="F8" s="71">
        <f ca="1"/>
        <v>46283</v>
      </c>
      <c r="G8" s="71">
        <f ca="1"/>
        <v>46284</v>
      </c>
      <c r="H8" s="74">
        <f ca="1"/>
        <v>46285</v>
      </c>
    </row>
    <row r="9" spans="1:9" ht="75" customHeight="1">
      <c r="B9" s="73"/>
      <c r="C9" s="73"/>
      <c r="D9" s="73"/>
      <c r="E9" s="73"/>
      <c r="F9" s="73"/>
      <c r="G9" s="73"/>
      <c r="H9" s="75"/>
    </row>
    <row r="10" spans="1:9" s="70" customFormat="1" ht="25.2" customHeight="1">
      <c r="B10" s="71">
        <f t="array" aca="1" ref="B10:H10" ca="1">Days+22+DATE(Calendar1Year,Calendar1MonthOption,1)-WEEKDAY(DATE(Calendar1Year,Calendar1MonthOption,1),WeekdayOption)</f>
        <v>46286</v>
      </c>
      <c r="C10" s="71">
        <f ca="1"/>
        <v>46287</v>
      </c>
      <c r="D10" s="71">
        <f ca="1"/>
        <v>46288</v>
      </c>
      <c r="E10" s="71">
        <f ca="1"/>
        <v>46289</v>
      </c>
      <c r="F10" s="71">
        <f ca="1"/>
        <v>46290</v>
      </c>
      <c r="G10" s="71">
        <f ca="1"/>
        <v>46291</v>
      </c>
      <c r="H10" s="74">
        <f ca="1"/>
        <v>46292</v>
      </c>
    </row>
    <row r="11" spans="1:9" ht="75" customHeight="1">
      <c r="B11" s="73"/>
      <c r="C11" s="73"/>
      <c r="D11" s="73"/>
      <c r="E11" s="73"/>
      <c r="F11" s="73"/>
      <c r="G11" s="73"/>
      <c r="H11" s="75"/>
    </row>
    <row r="12" spans="1:9" s="70" customFormat="1" ht="25.2" customHeight="1">
      <c r="B12" s="71">
        <f t="array" aca="1" ref="B12:H12" ca="1">Days+29+DATE(Calendar1Year,Calendar1MonthOption,1)-WEEKDAY(DATE(Calendar1Year,Calendar1MonthOption,1),WeekdayOption)</f>
        <v>46293</v>
      </c>
      <c r="C12" s="71">
        <f ca="1"/>
        <v>46294</v>
      </c>
      <c r="D12" s="71">
        <f ca="1"/>
        <v>46295</v>
      </c>
      <c r="E12" s="71">
        <f ca="1"/>
        <v>46296</v>
      </c>
      <c r="F12" s="71">
        <f ca="1"/>
        <v>46297</v>
      </c>
      <c r="G12" s="71">
        <f ca="1"/>
        <v>46298</v>
      </c>
      <c r="H12" s="74">
        <f ca="1"/>
        <v>46299</v>
      </c>
    </row>
    <row r="13" spans="1:9" ht="75" customHeight="1">
      <c r="B13" s="73"/>
      <c r="C13" s="73"/>
      <c r="D13" s="73"/>
      <c r="E13" s="73"/>
      <c r="F13" s="73"/>
      <c r="G13" s="73"/>
      <c r="H13" s="75"/>
    </row>
    <row r="14" spans="1:9" s="70" customFormat="1" ht="25.2" customHeight="1">
      <c r="B14" s="71">
        <f t="array" aca="1" ref="B14:C14" ca="1">Days+36+DATE(Calendar1Year,Calendar1MonthOption,1)-WEEKDAY(DATE(Calendar1Year,Calendar1MonthOption,1),WeekdayOption)</f>
        <v>46300</v>
      </c>
      <c r="C14" s="71">
        <f ca="1"/>
        <v>46301</v>
      </c>
      <c r="D14" s="173" t="s">
        <v>37</v>
      </c>
      <c r="E14" s="173"/>
      <c r="F14" s="173"/>
      <c r="G14" s="173"/>
      <c r="H14" s="173"/>
    </row>
    <row r="15" spans="1:9" ht="75" customHeight="1">
      <c r="B15" s="69"/>
      <c r="C15" s="98"/>
      <c r="D15" s="174"/>
      <c r="E15" s="174"/>
      <c r="F15" s="174"/>
      <c r="G15" s="174"/>
      <c r="H15" s="175"/>
    </row>
    <row r="16" spans="1:9" ht="30" customHeight="1">
      <c r="A16" s="85"/>
      <c r="B16" s="87"/>
      <c r="C16" s="87"/>
      <c r="D16" s="86"/>
      <c r="E16" s="86"/>
      <c r="F16" s="86"/>
      <c r="G16" s="86"/>
      <c r="H16" s="86"/>
      <c r="I16" s="85"/>
    </row>
    <row r="17" spans="1:8" s="70" customFormat="1" ht="75" customHeight="1">
      <c r="A17" s="92"/>
      <c r="B17" s="97" t="str">
        <f ca="1">TEXT(DATE(Calendar1Year,Calendar1MonthOption+1,1),"mmmm")</f>
        <v>October</v>
      </c>
      <c r="C17" s="96"/>
      <c r="D17" s="95"/>
      <c r="E17" s="95"/>
      <c r="F17" s="94"/>
      <c r="G17" s="94"/>
      <c r="H17" s="82">
        <f ca="1">YEAR(DATE(Calendar1Year,Calendar1MonthOption+1,1))</f>
        <v>2026</v>
      </c>
    </row>
    <row r="18" spans="1:8" s="70" customFormat="1" ht="25.2" customHeight="1">
      <c r="A18" s="89"/>
      <c r="B18" s="81" t="str">
        <f t="shared" ref="B18:H18" ca="1" si="1">UPPER(TEXT(B19,"dddd"))</f>
        <v>MONDAY</v>
      </c>
      <c r="C18" s="79" t="str">
        <f t="shared" ca="1" si="1"/>
        <v>TUESDAY</v>
      </c>
      <c r="D18" s="80" t="str">
        <f t="shared" ca="1" si="1"/>
        <v>WEDNESDAY</v>
      </c>
      <c r="E18" s="79" t="str">
        <f t="shared" ca="1" si="1"/>
        <v>THURSDAY</v>
      </c>
      <c r="F18" s="80" t="str">
        <f t="shared" ca="1" si="1"/>
        <v>FRIDAY</v>
      </c>
      <c r="G18" s="79" t="str">
        <f t="shared" ca="1" si="1"/>
        <v>SATURDAY</v>
      </c>
      <c r="H18" s="78" t="str">
        <f t="shared" ca="1" si="1"/>
        <v>SUNDAY</v>
      </c>
    </row>
    <row r="19" spans="1:8" s="70" customFormat="1" ht="25.2" customHeight="1">
      <c r="B19" s="77">
        <f t="array" aca="1" ref="B19:H19" ca="1">Days+1+DATE(Calendar2Year,Calendar2MonthOption,1)-WEEKDAY(DATE(Calendar2Year,Calendar2MonthOption,1),WeekdayOption)</f>
        <v>46293</v>
      </c>
      <c r="C19" s="77">
        <f ca="1"/>
        <v>46294</v>
      </c>
      <c r="D19" s="77">
        <f ca="1"/>
        <v>46295</v>
      </c>
      <c r="E19" s="77">
        <f ca="1"/>
        <v>46296</v>
      </c>
      <c r="F19" s="77">
        <f ca="1"/>
        <v>46297</v>
      </c>
      <c r="G19" s="77">
        <f ca="1"/>
        <v>46298</v>
      </c>
      <c r="H19" s="76">
        <f ca="1"/>
        <v>46299</v>
      </c>
    </row>
    <row r="20" spans="1:8" ht="75" customHeight="1">
      <c r="B20" s="73"/>
      <c r="C20" s="73"/>
      <c r="D20" s="73"/>
      <c r="E20" s="73"/>
      <c r="F20" s="73"/>
      <c r="G20" s="73"/>
      <c r="H20" s="75"/>
    </row>
    <row r="21" spans="1:8" s="70" customFormat="1" ht="25.2" customHeight="1">
      <c r="B21" s="71">
        <f t="array" aca="1" ref="B21:H21" ca="1">Days+8+DATE(Calendar2Year,Calendar2MonthOption,1)-WEEKDAY(DATE(Calendar2Year,Calendar2MonthOption,1),WeekdayOption)</f>
        <v>46300</v>
      </c>
      <c r="C21" s="71">
        <f ca="1"/>
        <v>46301</v>
      </c>
      <c r="D21" s="71">
        <f ca="1"/>
        <v>46302</v>
      </c>
      <c r="E21" s="71">
        <f ca="1"/>
        <v>46303</v>
      </c>
      <c r="F21" s="71">
        <f ca="1"/>
        <v>46304</v>
      </c>
      <c r="G21" s="71">
        <f ca="1"/>
        <v>46305</v>
      </c>
      <c r="H21" s="74">
        <f ca="1"/>
        <v>46306</v>
      </c>
    </row>
    <row r="22" spans="1:8" ht="75" customHeight="1">
      <c r="B22" s="73"/>
      <c r="C22" s="73"/>
      <c r="D22" s="73"/>
      <c r="E22" s="73"/>
      <c r="F22" s="73"/>
      <c r="G22" s="73"/>
      <c r="H22" s="75"/>
    </row>
    <row r="23" spans="1:8" s="70" customFormat="1" ht="25.2" customHeight="1">
      <c r="B23" s="71">
        <f t="array" aca="1" ref="B23:H23" ca="1">Days+15+DATE(Calendar2Year,Calendar2MonthOption,1)-WEEKDAY(DATE(Calendar2Year,Calendar2MonthOption,1),WeekdayOption)</f>
        <v>46307</v>
      </c>
      <c r="C23" s="71">
        <f ca="1"/>
        <v>46308</v>
      </c>
      <c r="D23" s="71">
        <f ca="1"/>
        <v>46309</v>
      </c>
      <c r="E23" s="71">
        <f ca="1"/>
        <v>46310</v>
      </c>
      <c r="F23" s="71">
        <f ca="1"/>
        <v>46311</v>
      </c>
      <c r="G23" s="71">
        <f ca="1"/>
        <v>46312</v>
      </c>
      <c r="H23" s="74">
        <f ca="1"/>
        <v>46313</v>
      </c>
    </row>
    <row r="24" spans="1:8" ht="75" customHeight="1">
      <c r="B24" s="73"/>
      <c r="C24" s="73"/>
      <c r="D24" s="73"/>
      <c r="E24" s="73"/>
      <c r="F24" s="73"/>
      <c r="G24" s="73"/>
      <c r="H24" s="75"/>
    </row>
    <row r="25" spans="1:8" s="70" customFormat="1" ht="25.2" customHeight="1">
      <c r="B25" s="71">
        <f t="array" aca="1" ref="B25:H25" ca="1">Days+22+DATE(Calendar2Year,Calendar2MonthOption,1)-WEEKDAY(DATE(Calendar2Year,Calendar2MonthOption,1),WeekdayOption)</f>
        <v>46314</v>
      </c>
      <c r="C25" s="71">
        <f ca="1"/>
        <v>46315</v>
      </c>
      <c r="D25" s="71">
        <f ca="1"/>
        <v>46316</v>
      </c>
      <c r="E25" s="71">
        <f ca="1"/>
        <v>46317</v>
      </c>
      <c r="F25" s="71">
        <f ca="1"/>
        <v>46318</v>
      </c>
      <c r="G25" s="71">
        <f ca="1"/>
        <v>46319</v>
      </c>
      <c r="H25" s="74">
        <f ca="1"/>
        <v>46320</v>
      </c>
    </row>
    <row r="26" spans="1:8" ht="75" customHeight="1">
      <c r="B26" s="73"/>
      <c r="C26" s="73"/>
      <c r="D26" s="73"/>
      <c r="E26" s="73"/>
      <c r="F26" s="73"/>
      <c r="G26" s="73"/>
      <c r="H26" s="75"/>
    </row>
    <row r="27" spans="1:8" s="70" customFormat="1" ht="25.2" customHeight="1">
      <c r="B27" s="71">
        <f t="array" aca="1" ref="B27:H27" ca="1">Days+29+DATE(Calendar2Year,Calendar2MonthOption,1)-WEEKDAY(DATE(Calendar2Year,Calendar2MonthOption,1),WeekdayOption)</f>
        <v>46321</v>
      </c>
      <c r="C27" s="71">
        <f ca="1"/>
        <v>46322</v>
      </c>
      <c r="D27" s="71">
        <f ca="1"/>
        <v>46323</v>
      </c>
      <c r="E27" s="71">
        <f ca="1"/>
        <v>46324</v>
      </c>
      <c r="F27" s="71">
        <f ca="1"/>
        <v>46325</v>
      </c>
      <c r="G27" s="71">
        <f ca="1"/>
        <v>46326</v>
      </c>
      <c r="H27" s="74">
        <f ca="1"/>
        <v>46327</v>
      </c>
    </row>
    <row r="28" spans="1:8" ht="75" customHeight="1">
      <c r="B28" s="73"/>
      <c r="C28" s="73"/>
      <c r="D28" s="73"/>
      <c r="E28" s="73"/>
      <c r="F28" s="73"/>
      <c r="G28" s="73"/>
      <c r="H28" s="72"/>
    </row>
    <row r="29" spans="1:8" s="70" customFormat="1" ht="25.2" customHeight="1">
      <c r="B29" s="71">
        <f t="array" aca="1" ref="B29:C29" ca="1">Days+36+DATE(Calendar2Year,Calendar2MonthOption,1)-WEEKDAY(DATE(Calendar2Year,Calendar2MonthOption,1),WeekdayOption)</f>
        <v>46328</v>
      </c>
      <c r="C29" s="71">
        <f ca="1"/>
        <v>46329</v>
      </c>
      <c r="D29" s="171" t="s">
        <v>37</v>
      </c>
      <c r="E29" s="171"/>
      <c r="F29" s="171"/>
      <c r="G29" s="171"/>
      <c r="H29" s="171"/>
    </row>
    <row r="30" spans="1:8" ht="75" customHeight="1">
      <c r="B30" s="69"/>
      <c r="C30" s="69"/>
      <c r="D30" s="172"/>
      <c r="E30" s="172"/>
      <c r="F30" s="172"/>
      <c r="G30" s="172"/>
      <c r="H30" s="172"/>
    </row>
    <row r="31" spans="1:8" ht="30" customHeight="1">
      <c r="B31" s="87"/>
      <c r="C31" s="87"/>
      <c r="D31" s="86"/>
      <c r="E31" s="86"/>
      <c r="F31" s="86"/>
      <c r="G31" s="86"/>
      <c r="H31" s="86"/>
    </row>
    <row r="32" spans="1:8" s="70" customFormat="1" ht="75" customHeight="1">
      <c r="A32" s="92"/>
      <c r="B32" s="84" t="str">
        <f ca="1">TEXT(DATE(Calendar2Year,Calendar2MonthOption+1,1),"mmmm")</f>
        <v>November</v>
      </c>
      <c r="C32" s="93"/>
      <c r="D32" s="93"/>
      <c r="F32" s="83"/>
      <c r="G32" s="83"/>
      <c r="H32" s="82">
        <f ca="1">YEAR(DATE(Calendar2Year,Calendar2MonthOption+1,1))</f>
        <v>2026</v>
      </c>
    </row>
    <row r="33" spans="1:8" s="70" customFormat="1" ht="25.2" customHeight="1">
      <c r="A33" s="89"/>
      <c r="B33" s="81" t="str">
        <f t="shared" ref="B33:H33" ca="1" si="2">UPPER(TEXT(B34,"dddd"))</f>
        <v>MONDAY</v>
      </c>
      <c r="C33" s="79" t="str">
        <f t="shared" ca="1" si="2"/>
        <v>TUESDAY</v>
      </c>
      <c r="D33" s="80" t="str">
        <f t="shared" ca="1" si="2"/>
        <v>WEDNESDAY</v>
      </c>
      <c r="E33" s="79" t="str">
        <f t="shared" ca="1" si="2"/>
        <v>THURSDAY</v>
      </c>
      <c r="F33" s="80" t="str">
        <f t="shared" ca="1" si="2"/>
        <v>FRIDAY</v>
      </c>
      <c r="G33" s="79" t="str">
        <f t="shared" ca="1" si="2"/>
        <v>SATURDAY</v>
      </c>
      <c r="H33" s="78" t="str">
        <f t="shared" ca="1" si="2"/>
        <v>SUNDAY</v>
      </c>
    </row>
    <row r="34" spans="1:8" s="70" customFormat="1" ht="25.2" customHeight="1">
      <c r="B34" s="77">
        <f t="array" aca="1" ref="B34:H34" ca="1">Days+1+DATE(Calendar3Year,Calendar3MonthOption,1)-WEEKDAY(DATE(Calendar3Year,Calendar3MonthOption,1),WeekdayOption)</f>
        <v>46321</v>
      </c>
      <c r="C34" s="77">
        <f ca="1"/>
        <v>46322</v>
      </c>
      <c r="D34" s="77">
        <f ca="1"/>
        <v>46323</v>
      </c>
      <c r="E34" s="77">
        <f ca="1"/>
        <v>46324</v>
      </c>
      <c r="F34" s="77">
        <f ca="1"/>
        <v>46325</v>
      </c>
      <c r="G34" s="77">
        <f ca="1"/>
        <v>46326</v>
      </c>
      <c r="H34" s="76">
        <f ca="1"/>
        <v>46327</v>
      </c>
    </row>
    <row r="35" spans="1:8" ht="75" customHeight="1">
      <c r="B35" s="73"/>
      <c r="C35" s="73"/>
      <c r="D35" s="73"/>
      <c r="E35" s="73"/>
      <c r="F35" s="73"/>
      <c r="G35" s="73"/>
      <c r="H35" s="75"/>
    </row>
    <row r="36" spans="1:8" s="70" customFormat="1" ht="25.2" customHeight="1">
      <c r="B36" s="71">
        <f t="array" aca="1" ref="B36:H36" ca="1">Days+8+DATE(Calendar3Year,Calendar3MonthOption,1)-WEEKDAY(DATE(Calendar3Year,Calendar3MonthOption,1),WeekdayOption)</f>
        <v>46328</v>
      </c>
      <c r="C36" s="71">
        <f ca="1"/>
        <v>46329</v>
      </c>
      <c r="D36" s="71">
        <f ca="1"/>
        <v>46330</v>
      </c>
      <c r="E36" s="71">
        <f ca="1"/>
        <v>46331</v>
      </c>
      <c r="F36" s="71">
        <f ca="1"/>
        <v>46332</v>
      </c>
      <c r="G36" s="71">
        <f ca="1"/>
        <v>46333</v>
      </c>
      <c r="H36" s="74">
        <f ca="1"/>
        <v>46334</v>
      </c>
    </row>
    <row r="37" spans="1:8" ht="75" customHeight="1">
      <c r="B37" s="73"/>
      <c r="C37" s="73"/>
      <c r="D37" s="73"/>
      <c r="E37" s="73"/>
      <c r="F37" s="73"/>
      <c r="G37" s="73"/>
      <c r="H37" s="75"/>
    </row>
    <row r="38" spans="1:8" s="70" customFormat="1" ht="25.2" customHeight="1">
      <c r="B38" s="71">
        <f t="array" aca="1" ref="B38:H38" ca="1">Days+15+DATE(Calendar3Year,Calendar3MonthOption,1)-WEEKDAY(DATE(Calendar3Year,Calendar3MonthOption,1),WeekdayOption)</f>
        <v>46335</v>
      </c>
      <c r="C38" s="71">
        <f ca="1"/>
        <v>46336</v>
      </c>
      <c r="D38" s="71">
        <f ca="1"/>
        <v>46337</v>
      </c>
      <c r="E38" s="71">
        <f ca="1"/>
        <v>46338</v>
      </c>
      <c r="F38" s="71">
        <f ca="1"/>
        <v>46339</v>
      </c>
      <c r="G38" s="71">
        <f ca="1"/>
        <v>46340</v>
      </c>
      <c r="H38" s="74">
        <f ca="1"/>
        <v>46341</v>
      </c>
    </row>
    <row r="39" spans="1:8" ht="75" customHeight="1">
      <c r="B39" s="73"/>
      <c r="C39" s="73"/>
      <c r="D39" s="73"/>
      <c r="E39" s="73"/>
      <c r="F39" s="73"/>
      <c r="G39" s="73"/>
      <c r="H39" s="75"/>
    </row>
    <row r="40" spans="1:8" s="70" customFormat="1" ht="25.2" customHeight="1">
      <c r="B40" s="71">
        <f t="array" aca="1" ref="B40:H40" ca="1">Days+22+DATE(Calendar3Year,Calendar3MonthOption,1)-WEEKDAY(DATE(Calendar3Year,Calendar3MonthOption,1),WeekdayOption)</f>
        <v>46342</v>
      </c>
      <c r="C40" s="71">
        <f ca="1"/>
        <v>46343</v>
      </c>
      <c r="D40" s="71">
        <f ca="1"/>
        <v>46344</v>
      </c>
      <c r="E40" s="71">
        <f ca="1"/>
        <v>46345</v>
      </c>
      <c r="F40" s="71">
        <f ca="1"/>
        <v>46346</v>
      </c>
      <c r="G40" s="71">
        <f ca="1"/>
        <v>46347</v>
      </c>
      <c r="H40" s="74">
        <f ca="1"/>
        <v>46348</v>
      </c>
    </row>
    <row r="41" spans="1:8" ht="75" customHeight="1">
      <c r="B41" s="73"/>
      <c r="C41" s="73"/>
      <c r="D41" s="73"/>
      <c r="E41" s="73"/>
      <c r="F41" s="73"/>
      <c r="G41" s="73"/>
      <c r="H41" s="75"/>
    </row>
    <row r="42" spans="1:8" s="70" customFormat="1" ht="25.2" customHeight="1">
      <c r="B42" s="71">
        <f t="array" aca="1" ref="B42:H42" ca="1">Days+29+DATE(Calendar3Year,Calendar3MonthOption,1)-WEEKDAY(DATE(Calendar3Year,Calendar3MonthOption,1),WeekdayOption)</f>
        <v>46349</v>
      </c>
      <c r="C42" s="71">
        <f ca="1"/>
        <v>46350</v>
      </c>
      <c r="D42" s="71">
        <f ca="1"/>
        <v>46351</v>
      </c>
      <c r="E42" s="71">
        <f ca="1"/>
        <v>46352</v>
      </c>
      <c r="F42" s="71">
        <f ca="1"/>
        <v>46353</v>
      </c>
      <c r="G42" s="71">
        <f ca="1"/>
        <v>46354</v>
      </c>
      <c r="H42" s="74">
        <f ca="1"/>
        <v>46355</v>
      </c>
    </row>
    <row r="43" spans="1:8" ht="75" customHeight="1">
      <c r="B43" s="73"/>
      <c r="C43" s="73"/>
      <c r="D43" s="73"/>
      <c r="E43" s="73"/>
      <c r="F43" s="73"/>
      <c r="G43" s="73"/>
      <c r="H43" s="72"/>
    </row>
    <row r="44" spans="1:8" s="70" customFormat="1" ht="25.2" customHeight="1">
      <c r="B44" s="71">
        <f t="array" aca="1" ref="B44:C44" ca="1">Days+36+DATE(Calendar3Year,Calendar3MonthOption,1)-WEEKDAY(DATE(Calendar3Year,Calendar3MonthOption,1),WeekdayOption)</f>
        <v>46356</v>
      </c>
      <c r="C44" s="71">
        <f ca="1"/>
        <v>46357</v>
      </c>
      <c r="D44" s="171" t="s">
        <v>37</v>
      </c>
      <c r="E44" s="171"/>
      <c r="F44" s="171"/>
      <c r="G44" s="171"/>
      <c r="H44" s="171"/>
    </row>
    <row r="45" spans="1:8" ht="75" customHeight="1">
      <c r="B45" s="69"/>
      <c r="C45" s="69"/>
      <c r="D45" s="172"/>
      <c r="E45" s="172"/>
      <c r="F45" s="172"/>
      <c r="G45" s="172"/>
      <c r="H45" s="172"/>
    </row>
    <row r="46" spans="1:8" ht="30" customHeight="1">
      <c r="B46" s="87"/>
      <c r="C46" s="87"/>
      <c r="D46" s="86"/>
      <c r="E46" s="86"/>
      <c r="F46" s="86"/>
      <c r="G46" s="86"/>
      <c r="H46" s="86"/>
    </row>
    <row r="47" spans="1:8" s="70" customFormat="1" ht="75" customHeight="1">
      <c r="A47" s="92"/>
      <c r="B47" s="84" t="str">
        <f ca="1">TEXT(DATE(Calendar3Year,Calendar3MonthOption+1,1),"mmmm")</f>
        <v>December</v>
      </c>
      <c r="D47" s="88"/>
      <c r="E47" s="88"/>
      <c r="F47" s="83"/>
      <c r="G47" s="83"/>
      <c r="H47" s="82">
        <f ca="1">YEAR(DATE(Calendar3Year,Calendar3MonthOption+1,1))</f>
        <v>2026</v>
      </c>
    </row>
    <row r="48" spans="1:8" s="70" customFormat="1" ht="25.2" customHeight="1">
      <c r="A48" s="89"/>
      <c r="B48" s="81" t="str">
        <f t="shared" ref="B48:H48" ca="1" si="3">UPPER(TEXT(B49,"dddd"))</f>
        <v>MONDAY</v>
      </c>
      <c r="C48" s="79" t="str">
        <f t="shared" ca="1" si="3"/>
        <v>TUESDAY</v>
      </c>
      <c r="D48" s="80" t="str">
        <f t="shared" ca="1" si="3"/>
        <v>WEDNESDAY</v>
      </c>
      <c r="E48" s="79" t="str">
        <f t="shared" ca="1" si="3"/>
        <v>THURSDAY</v>
      </c>
      <c r="F48" s="80" t="str">
        <f t="shared" ca="1" si="3"/>
        <v>FRIDAY</v>
      </c>
      <c r="G48" s="79" t="str">
        <f t="shared" ca="1" si="3"/>
        <v>SATURDAY</v>
      </c>
      <c r="H48" s="78" t="str">
        <f t="shared" ca="1" si="3"/>
        <v>SUNDAY</v>
      </c>
    </row>
    <row r="49" spans="1:8" s="70" customFormat="1" ht="25.2" customHeight="1">
      <c r="B49" s="77">
        <f t="array" aca="1" ref="B49:H49" ca="1">Days+1+DATE(Calendar4Year,Calendar4MonthOption,1)-WEEKDAY(DATE(Calendar4Year,Calendar4MonthOption,1),WeekdayOption)</f>
        <v>46356</v>
      </c>
      <c r="C49" s="77">
        <f ca="1"/>
        <v>46357</v>
      </c>
      <c r="D49" s="77">
        <f ca="1"/>
        <v>46358</v>
      </c>
      <c r="E49" s="77">
        <f ca="1"/>
        <v>46359</v>
      </c>
      <c r="F49" s="77">
        <f ca="1"/>
        <v>46360</v>
      </c>
      <c r="G49" s="77">
        <f ca="1"/>
        <v>46361</v>
      </c>
      <c r="H49" s="76">
        <f ca="1"/>
        <v>46362</v>
      </c>
    </row>
    <row r="50" spans="1:8" ht="75" customHeight="1">
      <c r="B50" s="73"/>
      <c r="C50" s="73"/>
      <c r="D50" s="73"/>
      <c r="E50" s="73"/>
      <c r="F50" s="73"/>
      <c r="G50" s="73"/>
      <c r="H50" s="75"/>
    </row>
    <row r="51" spans="1:8" s="70" customFormat="1" ht="25.2" customHeight="1">
      <c r="B51" s="71">
        <f t="array" aca="1" ref="B51:H51" ca="1">Days+8+DATE(Calendar4Year,Calendar4MonthOption,1)-WEEKDAY(DATE(Calendar4Year,Calendar4MonthOption,1),WeekdayOption)</f>
        <v>46363</v>
      </c>
      <c r="C51" s="71">
        <f ca="1"/>
        <v>46364</v>
      </c>
      <c r="D51" s="71">
        <f ca="1"/>
        <v>46365</v>
      </c>
      <c r="E51" s="71">
        <f ca="1"/>
        <v>46366</v>
      </c>
      <c r="F51" s="71">
        <f ca="1"/>
        <v>46367</v>
      </c>
      <c r="G51" s="71">
        <f ca="1"/>
        <v>46368</v>
      </c>
      <c r="H51" s="74">
        <f ca="1"/>
        <v>46369</v>
      </c>
    </row>
    <row r="52" spans="1:8" ht="75" customHeight="1">
      <c r="B52" s="73"/>
      <c r="C52" s="73"/>
      <c r="D52" s="73"/>
      <c r="E52" s="73"/>
      <c r="F52" s="73"/>
      <c r="G52" s="73"/>
      <c r="H52" s="75"/>
    </row>
    <row r="53" spans="1:8" s="70" customFormat="1" ht="25.2" customHeight="1">
      <c r="B53" s="71">
        <f t="array" aca="1" ref="B53:H53" ca="1">Days+15+DATE(Calendar4Year,Calendar4MonthOption,1)-WEEKDAY(DATE(Calendar4Year,Calendar4MonthOption,1),WeekdayOption)</f>
        <v>46370</v>
      </c>
      <c r="C53" s="71">
        <f ca="1"/>
        <v>46371</v>
      </c>
      <c r="D53" s="71">
        <f ca="1"/>
        <v>46372</v>
      </c>
      <c r="E53" s="71">
        <f ca="1"/>
        <v>46373</v>
      </c>
      <c r="F53" s="71">
        <f ca="1"/>
        <v>46374</v>
      </c>
      <c r="G53" s="71">
        <f ca="1"/>
        <v>46375</v>
      </c>
      <c r="H53" s="74">
        <f ca="1"/>
        <v>46376</v>
      </c>
    </row>
    <row r="54" spans="1:8" ht="75" customHeight="1">
      <c r="B54" s="73"/>
      <c r="C54" s="73"/>
      <c r="D54" s="73"/>
      <c r="E54" s="73"/>
      <c r="F54" s="73"/>
      <c r="G54" s="73"/>
      <c r="H54" s="75"/>
    </row>
    <row r="55" spans="1:8" s="70" customFormat="1" ht="25.2" customHeight="1">
      <c r="B55" s="71">
        <f t="array" aca="1" ref="B55:H55" ca="1">Days+22+DATE(Calendar4Year,Calendar4MonthOption,1)-WEEKDAY(DATE(Calendar4Year,Calendar4MonthOption,1),WeekdayOption)</f>
        <v>46377</v>
      </c>
      <c r="C55" s="71">
        <f ca="1"/>
        <v>46378</v>
      </c>
      <c r="D55" s="71">
        <f ca="1"/>
        <v>46379</v>
      </c>
      <c r="E55" s="71">
        <f ca="1"/>
        <v>46380</v>
      </c>
      <c r="F55" s="71">
        <f ca="1"/>
        <v>46381</v>
      </c>
      <c r="G55" s="71">
        <f ca="1"/>
        <v>46382</v>
      </c>
      <c r="H55" s="74">
        <f ca="1"/>
        <v>46383</v>
      </c>
    </row>
    <row r="56" spans="1:8" ht="75" customHeight="1">
      <c r="B56" s="73"/>
      <c r="C56" s="73"/>
      <c r="D56" s="73"/>
      <c r="E56" s="73"/>
      <c r="F56" s="73"/>
      <c r="G56" s="73"/>
      <c r="H56" s="75"/>
    </row>
    <row r="57" spans="1:8" s="70" customFormat="1" ht="25.2" customHeight="1">
      <c r="B57" s="71">
        <f t="array" aca="1" ref="B57:H57" ca="1">Days+29+DATE(Calendar4Year,Calendar4MonthOption,1)-WEEKDAY(DATE(Calendar4Year,Calendar4MonthOption,1),WeekdayOption)</f>
        <v>46384</v>
      </c>
      <c r="C57" s="71">
        <f ca="1"/>
        <v>46385</v>
      </c>
      <c r="D57" s="71">
        <f ca="1"/>
        <v>46386</v>
      </c>
      <c r="E57" s="71">
        <f ca="1"/>
        <v>46387</v>
      </c>
      <c r="F57" s="71">
        <f ca="1"/>
        <v>46388</v>
      </c>
      <c r="G57" s="71">
        <f ca="1"/>
        <v>46389</v>
      </c>
      <c r="H57" s="74">
        <f ca="1"/>
        <v>46390</v>
      </c>
    </row>
    <row r="58" spans="1:8" ht="75" customHeight="1">
      <c r="B58" s="73"/>
      <c r="C58" s="73"/>
      <c r="D58" s="73"/>
      <c r="E58" s="73"/>
      <c r="F58" s="73"/>
      <c r="G58" s="73"/>
      <c r="H58" s="72"/>
    </row>
    <row r="59" spans="1:8" s="70" customFormat="1" ht="25.2" customHeight="1">
      <c r="B59" s="71">
        <f t="array" aca="1" ref="B59:C59" ca="1">Days+36+DATE(Calendar4Year,Calendar4MonthOption,1)-WEEKDAY(DATE(Calendar4Year,Calendar4MonthOption,1),WeekdayOption)</f>
        <v>46391</v>
      </c>
      <c r="C59" s="71">
        <f ca="1"/>
        <v>46392</v>
      </c>
      <c r="D59" s="171" t="s">
        <v>37</v>
      </c>
      <c r="E59" s="171"/>
      <c r="F59" s="171"/>
      <c r="G59" s="171"/>
      <c r="H59" s="171"/>
    </row>
    <row r="60" spans="1:8" ht="75" customHeight="1">
      <c r="B60" s="69"/>
      <c r="C60" s="69"/>
      <c r="D60" s="172"/>
      <c r="E60" s="172"/>
      <c r="F60" s="172"/>
      <c r="G60" s="172"/>
      <c r="H60" s="172"/>
    </row>
    <row r="61" spans="1:8" s="85" customFormat="1" ht="30" customHeight="1">
      <c r="B61" s="87"/>
      <c r="F61" s="86"/>
      <c r="G61" s="86"/>
      <c r="H61" s="86"/>
    </row>
    <row r="62" spans="1:8" s="70" customFormat="1" ht="75" customHeight="1">
      <c r="A62" s="92"/>
      <c r="B62" s="84" t="str">
        <f ca="1">TEXT(DATE(Calendar4Year,Calendar4MonthOption+1,1),"mmmm")</f>
        <v>January</v>
      </c>
      <c r="C62" s="84"/>
      <c r="D62" s="84"/>
      <c r="F62" s="83"/>
      <c r="G62" s="83"/>
      <c r="H62" s="82">
        <f ca="1">YEAR(DATE(Calendar4Year,Calendar4MonthOption+1,1))</f>
        <v>2027</v>
      </c>
    </row>
    <row r="63" spans="1:8" s="70" customFormat="1" ht="25.2" customHeight="1">
      <c r="A63" s="89"/>
      <c r="B63" s="81" t="str">
        <f t="shared" ref="B63:H63" ca="1" si="4">UPPER(TEXT(B64,"dddd"))</f>
        <v>MONDAY</v>
      </c>
      <c r="C63" s="79" t="str">
        <f t="shared" ca="1" si="4"/>
        <v>TUESDAY</v>
      </c>
      <c r="D63" s="80" t="str">
        <f t="shared" ca="1" si="4"/>
        <v>WEDNESDAY</v>
      </c>
      <c r="E63" s="79" t="str">
        <f t="shared" ca="1" si="4"/>
        <v>THURSDAY</v>
      </c>
      <c r="F63" s="80" t="str">
        <f t="shared" ca="1" si="4"/>
        <v>FRIDAY</v>
      </c>
      <c r="G63" s="79" t="str">
        <f t="shared" ca="1" si="4"/>
        <v>SATURDAY</v>
      </c>
      <c r="H63" s="78" t="str">
        <f t="shared" ca="1" si="4"/>
        <v>SUNDAY</v>
      </c>
    </row>
    <row r="64" spans="1:8" s="70" customFormat="1" ht="25.2" customHeight="1">
      <c r="B64" s="77">
        <f t="array" aca="1" ref="B64:H64" ca="1">Days+1+DATE(Calendar5Year,Calendar5MonthOption,1)-WEEKDAY(DATE(Calendar5Year,Calendar5MonthOption,1),WeekdayOption)</f>
        <v>46384</v>
      </c>
      <c r="C64" s="77">
        <f ca="1"/>
        <v>46385</v>
      </c>
      <c r="D64" s="77">
        <f ca="1"/>
        <v>46386</v>
      </c>
      <c r="E64" s="77">
        <f ca="1"/>
        <v>46387</v>
      </c>
      <c r="F64" s="77">
        <f ca="1"/>
        <v>46388</v>
      </c>
      <c r="G64" s="77">
        <f ca="1"/>
        <v>46389</v>
      </c>
      <c r="H64" s="76">
        <f ca="1"/>
        <v>46390</v>
      </c>
    </row>
    <row r="65" spans="1:8" ht="75" customHeight="1">
      <c r="B65" s="73"/>
      <c r="C65" s="73"/>
      <c r="D65" s="73"/>
      <c r="E65" s="73"/>
      <c r="F65" s="73"/>
      <c r="G65" s="73"/>
      <c r="H65" s="75"/>
    </row>
    <row r="66" spans="1:8" s="70" customFormat="1" ht="25.2" customHeight="1">
      <c r="B66" s="71">
        <f t="array" aca="1" ref="B66:H66" ca="1">Days+8+DATE(Calendar5Year,Calendar5MonthOption,1)-WEEKDAY(DATE(Calendar5Year,Calendar5MonthOption,1),WeekdayOption)</f>
        <v>46391</v>
      </c>
      <c r="C66" s="71">
        <f ca="1"/>
        <v>46392</v>
      </c>
      <c r="D66" s="71">
        <f ca="1"/>
        <v>46393</v>
      </c>
      <c r="E66" s="71">
        <f ca="1"/>
        <v>46394</v>
      </c>
      <c r="F66" s="71">
        <f ca="1"/>
        <v>46395</v>
      </c>
      <c r="G66" s="71">
        <f ca="1"/>
        <v>46396</v>
      </c>
      <c r="H66" s="74">
        <f ca="1"/>
        <v>46397</v>
      </c>
    </row>
    <row r="67" spans="1:8" ht="75" customHeight="1">
      <c r="B67" s="73"/>
      <c r="C67" s="73"/>
      <c r="D67" s="73"/>
      <c r="E67" s="73"/>
      <c r="F67" s="73"/>
      <c r="G67" s="73"/>
      <c r="H67" s="75"/>
    </row>
    <row r="68" spans="1:8" s="70" customFormat="1" ht="25.2" customHeight="1">
      <c r="B68" s="71">
        <f t="array" aca="1" ref="B68:H68" ca="1">Days+15+DATE(Calendar5Year,Calendar5MonthOption,1)-WEEKDAY(DATE(Calendar5Year,Calendar5MonthOption,1),WeekdayOption)</f>
        <v>46398</v>
      </c>
      <c r="C68" s="71">
        <f ca="1"/>
        <v>46399</v>
      </c>
      <c r="D68" s="71">
        <f ca="1"/>
        <v>46400</v>
      </c>
      <c r="E68" s="71">
        <f ca="1"/>
        <v>46401</v>
      </c>
      <c r="F68" s="71">
        <f ca="1"/>
        <v>46402</v>
      </c>
      <c r="G68" s="71">
        <f ca="1"/>
        <v>46403</v>
      </c>
      <c r="H68" s="74">
        <f ca="1"/>
        <v>46404</v>
      </c>
    </row>
    <row r="69" spans="1:8" ht="75" customHeight="1">
      <c r="B69" s="73"/>
      <c r="C69" s="73"/>
      <c r="D69" s="73"/>
      <c r="E69" s="73"/>
      <c r="F69" s="73"/>
      <c r="G69" s="73"/>
      <c r="H69" s="75"/>
    </row>
    <row r="70" spans="1:8" s="70" customFormat="1" ht="25.2" customHeight="1">
      <c r="B70" s="71">
        <f t="array" aca="1" ref="B70:H70" ca="1">Days+22+DATE(Calendar5Year,Calendar5MonthOption,1)-WEEKDAY(DATE(Calendar5Year,Calendar5MonthOption,1),WeekdayOption)</f>
        <v>46405</v>
      </c>
      <c r="C70" s="71">
        <f ca="1"/>
        <v>46406</v>
      </c>
      <c r="D70" s="71">
        <f ca="1"/>
        <v>46407</v>
      </c>
      <c r="E70" s="71">
        <f ca="1"/>
        <v>46408</v>
      </c>
      <c r="F70" s="71">
        <f ca="1"/>
        <v>46409</v>
      </c>
      <c r="G70" s="71">
        <f ca="1"/>
        <v>46410</v>
      </c>
      <c r="H70" s="74">
        <f ca="1"/>
        <v>46411</v>
      </c>
    </row>
    <row r="71" spans="1:8" ht="75" customHeight="1">
      <c r="B71" s="73"/>
      <c r="C71" s="73"/>
      <c r="D71" s="73"/>
      <c r="E71" s="73"/>
      <c r="F71" s="73"/>
      <c r="G71" s="73"/>
      <c r="H71" s="75"/>
    </row>
    <row r="72" spans="1:8" s="70" customFormat="1" ht="25.2" customHeight="1">
      <c r="B72" s="71">
        <f t="array" aca="1" ref="B72:H72" ca="1">Days+29+DATE(Calendar5Year,Calendar5MonthOption,1)-WEEKDAY(DATE(Calendar5Year,Calendar5MonthOption,1),WeekdayOption)</f>
        <v>46412</v>
      </c>
      <c r="C72" s="71">
        <f ca="1"/>
        <v>46413</v>
      </c>
      <c r="D72" s="71">
        <f ca="1"/>
        <v>46414</v>
      </c>
      <c r="E72" s="71">
        <f ca="1"/>
        <v>46415</v>
      </c>
      <c r="F72" s="71">
        <f ca="1"/>
        <v>46416</v>
      </c>
      <c r="G72" s="71">
        <f ca="1"/>
        <v>46417</v>
      </c>
      <c r="H72" s="74">
        <f ca="1"/>
        <v>46418</v>
      </c>
    </row>
    <row r="73" spans="1:8" ht="75" customHeight="1">
      <c r="B73" s="73"/>
      <c r="C73" s="73"/>
      <c r="D73" s="73"/>
      <c r="E73" s="73"/>
      <c r="F73" s="73"/>
      <c r="G73" s="73"/>
      <c r="H73" s="72"/>
    </row>
    <row r="74" spans="1:8" s="70" customFormat="1" ht="25.2" customHeight="1">
      <c r="B74" s="71">
        <f t="array" aca="1" ref="B74:C74" ca="1">Days+36+DATE(Calendar5Year,Calendar5MonthOption,1)-WEEKDAY(DATE(Calendar5Year,Calendar5MonthOption,1),WeekdayOption)</f>
        <v>46419</v>
      </c>
      <c r="C74" s="71">
        <f ca="1"/>
        <v>46420</v>
      </c>
      <c r="D74" s="171" t="s">
        <v>37</v>
      </c>
      <c r="E74" s="171"/>
      <c r="F74" s="171"/>
      <c r="G74" s="171"/>
      <c r="H74" s="171"/>
    </row>
    <row r="75" spans="1:8" ht="75" customHeight="1">
      <c r="B75" s="69"/>
      <c r="C75" s="69"/>
      <c r="D75" s="172"/>
      <c r="E75" s="172"/>
      <c r="F75" s="172"/>
      <c r="G75" s="172"/>
      <c r="H75" s="172"/>
    </row>
    <row r="76" spans="1:8" s="85" customFormat="1" ht="30" customHeight="1">
      <c r="B76" s="87"/>
      <c r="C76" s="87"/>
      <c r="D76" s="86"/>
      <c r="E76" s="86"/>
      <c r="F76" s="86"/>
      <c r="G76" s="86"/>
      <c r="H76" s="86"/>
    </row>
    <row r="77" spans="1:8" s="70" customFormat="1" ht="75" customHeight="1">
      <c r="A77" s="92"/>
      <c r="B77" s="84" t="str">
        <f ca="1">TEXT(DATE(Calendar5Year,Calendar5MonthOption+1,1),"mmmm")</f>
        <v>February</v>
      </c>
      <c r="C77" s="84"/>
      <c r="D77" s="84"/>
      <c r="F77" s="83"/>
      <c r="G77" s="83"/>
      <c r="H77" s="82">
        <f ca="1">YEAR(DATE(Calendar5Year,Calendar5MonthOption+1,1))</f>
        <v>2027</v>
      </c>
    </row>
    <row r="78" spans="1:8" s="70" customFormat="1" ht="25.2" customHeight="1">
      <c r="A78" s="89"/>
      <c r="B78" s="81" t="str">
        <f t="shared" ref="B78:H78" ca="1" si="5">UPPER(TEXT(B79,"dddd"))</f>
        <v>MONDAY</v>
      </c>
      <c r="C78" s="79" t="str">
        <f t="shared" ca="1" si="5"/>
        <v>TUESDAY</v>
      </c>
      <c r="D78" s="80" t="str">
        <f t="shared" ca="1" si="5"/>
        <v>WEDNESDAY</v>
      </c>
      <c r="E78" s="79" t="str">
        <f t="shared" ca="1" si="5"/>
        <v>THURSDAY</v>
      </c>
      <c r="F78" s="80" t="str">
        <f t="shared" ca="1" si="5"/>
        <v>FRIDAY</v>
      </c>
      <c r="G78" s="79" t="str">
        <f t="shared" ca="1" si="5"/>
        <v>SATURDAY</v>
      </c>
      <c r="H78" s="78" t="str">
        <f t="shared" ca="1" si="5"/>
        <v>SUNDAY</v>
      </c>
    </row>
    <row r="79" spans="1:8" s="70" customFormat="1" ht="25.2" customHeight="1">
      <c r="B79" s="77">
        <f t="array" aca="1" ref="B79:H79" ca="1">Days+1+DATE(Calendar6Year,Calendar6MonthOption,1)-WEEKDAY(DATE(Calendar6Year,Calendar6MonthOption,1),WeekdayOption)</f>
        <v>46419</v>
      </c>
      <c r="C79" s="77">
        <f ca="1"/>
        <v>46420</v>
      </c>
      <c r="D79" s="77">
        <f ca="1"/>
        <v>46421</v>
      </c>
      <c r="E79" s="77">
        <f ca="1"/>
        <v>46422</v>
      </c>
      <c r="F79" s="77">
        <f ca="1"/>
        <v>46423</v>
      </c>
      <c r="G79" s="77">
        <f ca="1"/>
        <v>46424</v>
      </c>
      <c r="H79" s="76">
        <f ca="1"/>
        <v>46425</v>
      </c>
    </row>
    <row r="80" spans="1:8" ht="75" customHeight="1">
      <c r="B80" s="73"/>
      <c r="C80" s="73"/>
      <c r="D80" s="73"/>
      <c r="E80" s="73"/>
      <c r="F80" s="73"/>
      <c r="G80" s="73"/>
      <c r="H80" s="75"/>
    </row>
    <row r="81" spans="1:8" s="70" customFormat="1" ht="25.2" customHeight="1">
      <c r="B81" s="71">
        <f t="array" aca="1" ref="B81:H81" ca="1">Days+8+DATE(Calendar6Year,Calendar6MonthOption,1)-WEEKDAY(DATE(Calendar6Year,Calendar6MonthOption,1),WeekdayOption)</f>
        <v>46426</v>
      </c>
      <c r="C81" s="71">
        <f ca="1"/>
        <v>46427</v>
      </c>
      <c r="D81" s="71">
        <f ca="1"/>
        <v>46428</v>
      </c>
      <c r="E81" s="71">
        <f ca="1"/>
        <v>46429</v>
      </c>
      <c r="F81" s="71">
        <f ca="1"/>
        <v>46430</v>
      </c>
      <c r="G81" s="71">
        <f ca="1"/>
        <v>46431</v>
      </c>
      <c r="H81" s="74">
        <f ca="1"/>
        <v>46432</v>
      </c>
    </row>
    <row r="82" spans="1:8" ht="75" customHeight="1">
      <c r="B82" s="73"/>
      <c r="C82" s="73"/>
      <c r="D82" s="73"/>
      <c r="E82" s="73"/>
      <c r="F82" s="73"/>
      <c r="G82" s="73"/>
      <c r="H82" s="75"/>
    </row>
    <row r="83" spans="1:8" s="70" customFormat="1" ht="25.2" customHeight="1">
      <c r="B83" s="71">
        <f t="array" aca="1" ref="B83:H83" ca="1">Days+15+DATE(Calendar6Year,Calendar6MonthOption,1)-WEEKDAY(DATE(Calendar6Year,Calendar6MonthOption,1),WeekdayOption)</f>
        <v>46433</v>
      </c>
      <c r="C83" s="71">
        <f ca="1"/>
        <v>46434</v>
      </c>
      <c r="D83" s="71">
        <f ca="1"/>
        <v>46435</v>
      </c>
      <c r="E83" s="71">
        <f ca="1"/>
        <v>46436</v>
      </c>
      <c r="F83" s="71">
        <f ca="1"/>
        <v>46437</v>
      </c>
      <c r="G83" s="71">
        <f ca="1"/>
        <v>46438</v>
      </c>
      <c r="H83" s="74">
        <f ca="1"/>
        <v>46439</v>
      </c>
    </row>
    <row r="84" spans="1:8" ht="75" customHeight="1">
      <c r="B84" s="73"/>
      <c r="C84" s="73"/>
      <c r="D84" s="73"/>
      <c r="E84" s="73"/>
      <c r="F84" s="73"/>
      <c r="G84" s="73"/>
      <c r="H84" s="75"/>
    </row>
    <row r="85" spans="1:8" s="70" customFormat="1" ht="25.2" customHeight="1">
      <c r="B85" s="71">
        <f t="array" aca="1" ref="B85:H85" ca="1">Days+22+DATE(Calendar6Year,Calendar6MonthOption,1)-WEEKDAY(DATE(Calendar6Year,Calendar6MonthOption,1),WeekdayOption)</f>
        <v>46440</v>
      </c>
      <c r="C85" s="71">
        <f ca="1"/>
        <v>46441</v>
      </c>
      <c r="D85" s="71">
        <f ca="1"/>
        <v>46442</v>
      </c>
      <c r="E85" s="71">
        <f ca="1"/>
        <v>46443</v>
      </c>
      <c r="F85" s="71">
        <f ca="1"/>
        <v>46444</v>
      </c>
      <c r="G85" s="71">
        <f ca="1"/>
        <v>46445</v>
      </c>
      <c r="H85" s="74">
        <f ca="1"/>
        <v>46446</v>
      </c>
    </row>
    <row r="86" spans="1:8" ht="75" customHeight="1">
      <c r="B86" s="73"/>
      <c r="C86" s="73"/>
      <c r="D86" s="73"/>
      <c r="E86" s="73"/>
      <c r="F86" s="73"/>
      <c r="G86" s="73"/>
      <c r="H86" s="75"/>
    </row>
    <row r="87" spans="1:8" s="70" customFormat="1" ht="25.2" customHeight="1">
      <c r="B87" s="71">
        <f t="array" aca="1" ref="B87:H87" ca="1">Days+29+DATE(Calendar6Year,Calendar6MonthOption,1)-WEEKDAY(DATE(Calendar6Year,Calendar6MonthOption,1),WeekdayOption)</f>
        <v>46447</v>
      </c>
      <c r="C87" s="71">
        <f ca="1"/>
        <v>46448</v>
      </c>
      <c r="D87" s="71">
        <f ca="1"/>
        <v>46449</v>
      </c>
      <c r="E87" s="71">
        <f ca="1"/>
        <v>46450</v>
      </c>
      <c r="F87" s="71">
        <f ca="1"/>
        <v>46451</v>
      </c>
      <c r="G87" s="71">
        <f ca="1"/>
        <v>46452</v>
      </c>
      <c r="H87" s="74">
        <f ca="1"/>
        <v>46453</v>
      </c>
    </row>
    <row r="88" spans="1:8" ht="75" customHeight="1">
      <c r="B88" s="73"/>
      <c r="C88" s="73"/>
      <c r="D88" s="73"/>
      <c r="E88" s="73"/>
      <c r="F88" s="73"/>
      <c r="G88" s="73"/>
      <c r="H88" s="72"/>
    </row>
    <row r="89" spans="1:8" s="70" customFormat="1" ht="25.2" customHeight="1">
      <c r="B89" s="71">
        <f t="array" aca="1" ref="B89:C89" ca="1">Days+36+DATE(Calendar6Year,Calendar6MonthOption,1)-WEEKDAY(DATE(Calendar6Year,Calendar6MonthOption,1),WeekdayOption)</f>
        <v>46454</v>
      </c>
      <c r="C89" s="71">
        <f ca="1"/>
        <v>46455</v>
      </c>
      <c r="D89" s="171" t="s">
        <v>37</v>
      </c>
      <c r="E89" s="171"/>
      <c r="F89" s="171"/>
      <c r="G89" s="171"/>
      <c r="H89" s="171"/>
    </row>
    <row r="90" spans="1:8" ht="75" customHeight="1">
      <c r="B90" s="69"/>
      <c r="C90" s="69"/>
      <c r="D90" s="172"/>
      <c r="E90" s="172"/>
      <c r="F90" s="172"/>
      <c r="G90" s="172"/>
      <c r="H90" s="172"/>
    </row>
    <row r="91" spans="1:8" s="85" customFormat="1" ht="30" customHeight="1">
      <c r="B91" s="87"/>
      <c r="C91" s="87"/>
      <c r="D91" s="86"/>
      <c r="E91" s="86"/>
      <c r="F91" s="86"/>
      <c r="G91" s="86"/>
      <c r="H91" s="86"/>
    </row>
    <row r="92" spans="1:8" s="70" customFormat="1" ht="75" customHeight="1">
      <c r="A92" s="92"/>
      <c r="B92" s="84" t="str">
        <f ca="1">TEXT(DATE(Calendar6Year,Calendar6MonthOption+1,1),"mmmm")</f>
        <v>March</v>
      </c>
      <c r="D92" s="88"/>
      <c r="E92" s="88"/>
      <c r="F92" s="83"/>
      <c r="G92" s="83"/>
      <c r="H92" s="82">
        <f ca="1">YEAR(DATE(Calendar6Year,Calendar6MonthOption+1,1))</f>
        <v>2027</v>
      </c>
    </row>
    <row r="93" spans="1:8" s="70" customFormat="1" ht="25.2" customHeight="1">
      <c r="A93" s="89"/>
      <c r="B93" s="81" t="str">
        <f t="shared" ref="B93:H93" ca="1" si="6">UPPER(TEXT(B94,"dddd"))</f>
        <v>MONDAY</v>
      </c>
      <c r="C93" s="79" t="str">
        <f t="shared" ca="1" si="6"/>
        <v>TUESDAY</v>
      </c>
      <c r="D93" s="80" t="str">
        <f t="shared" ca="1" si="6"/>
        <v>WEDNESDAY</v>
      </c>
      <c r="E93" s="79" t="str">
        <f t="shared" ca="1" si="6"/>
        <v>THURSDAY</v>
      </c>
      <c r="F93" s="80" t="str">
        <f t="shared" ca="1" si="6"/>
        <v>FRIDAY</v>
      </c>
      <c r="G93" s="79" t="str">
        <f t="shared" ca="1" si="6"/>
        <v>SATURDAY</v>
      </c>
      <c r="H93" s="78" t="str">
        <f t="shared" ca="1" si="6"/>
        <v>SUNDAY</v>
      </c>
    </row>
    <row r="94" spans="1:8" s="70" customFormat="1" ht="25.2" customHeight="1">
      <c r="B94" s="77">
        <f t="array" aca="1" ref="B94:H94" ca="1">Days+1+DATE(Calendar7Year,Calendar7MonthOption,1)-WEEKDAY(DATE(Calendar7Year,Calendar7MonthOption,1),WeekdayOption)</f>
        <v>46447</v>
      </c>
      <c r="C94" s="77">
        <f ca="1"/>
        <v>46448</v>
      </c>
      <c r="D94" s="77">
        <f ca="1"/>
        <v>46449</v>
      </c>
      <c r="E94" s="77">
        <f ca="1"/>
        <v>46450</v>
      </c>
      <c r="F94" s="77">
        <f ca="1"/>
        <v>46451</v>
      </c>
      <c r="G94" s="77">
        <f ca="1"/>
        <v>46452</v>
      </c>
      <c r="H94" s="76">
        <f ca="1"/>
        <v>46453</v>
      </c>
    </row>
    <row r="95" spans="1:8" ht="75" customHeight="1">
      <c r="B95" s="73"/>
      <c r="C95" s="73"/>
      <c r="D95" s="73"/>
      <c r="E95" s="73"/>
      <c r="F95" s="73"/>
      <c r="G95" s="73"/>
      <c r="H95" s="75"/>
    </row>
    <row r="96" spans="1:8" s="70" customFormat="1" ht="25.2" customHeight="1">
      <c r="B96" s="71">
        <f t="array" aca="1" ref="B96:H96" ca="1">Days+8+DATE(Calendar7Year,Calendar7MonthOption,1)-WEEKDAY(DATE(Calendar7Year,Calendar7MonthOption,1),WeekdayOption)</f>
        <v>46454</v>
      </c>
      <c r="C96" s="71">
        <f ca="1"/>
        <v>46455</v>
      </c>
      <c r="D96" s="71">
        <f ca="1"/>
        <v>46456</v>
      </c>
      <c r="E96" s="71">
        <f ca="1"/>
        <v>46457</v>
      </c>
      <c r="F96" s="71">
        <f ca="1"/>
        <v>46458</v>
      </c>
      <c r="G96" s="71">
        <f ca="1"/>
        <v>46459</v>
      </c>
      <c r="H96" s="74">
        <f ca="1"/>
        <v>46460</v>
      </c>
    </row>
    <row r="97" spans="1:8" ht="75" customHeight="1">
      <c r="B97" s="73"/>
      <c r="C97" s="73"/>
      <c r="D97" s="73"/>
      <c r="E97" s="73"/>
      <c r="F97" s="73"/>
      <c r="G97" s="73"/>
      <c r="H97" s="75"/>
    </row>
    <row r="98" spans="1:8" s="70" customFormat="1" ht="25.2" customHeight="1">
      <c r="B98" s="71">
        <f t="array" aca="1" ref="B98:H98" ca="1">Days+15+DATE(Calendar7Year,Calendar7MonthOption,1)-WEEKDAY(DATE(Calendar7Year,Calendar7MonthOption,1),WeekdayOption)</f>
        <v>46461</v>
      </c>
      <c r="C98" s="71">
        <f ca="1"/>
        <v>46462</v>
      </c>
      <c r="D98" s="71">
        <f ca="1"/>
        <v>46463</v>
      </c>
      <c r="E98" s="71">
        <f ca="1"/>
        <v>46464</v>
      </c>
      <c r="F98" s="71">
        <f ca="1"/>
        <v>46465</v>
      </c>
      <c r="G98" s="71">
        <f ca="1"/>
        <v>46466</v>
      </c>
      <c r="H98" s="74">
        <f ca="1"/>
        <v>46467</v>
      </c>
    </row>
    <row r="99" spans="1:8" ht="75" customHeight="1">
      <c r="B99" s="73"/>
      <c r="C99" s="73"/>
      <c r="D99" s="73"/>
      <c r="E99" s="73"/>
      <c r="F99" s="73"/>
      <c r="G99" s="73"/>
      <c r="H99" s="75"/>
    </row>
    <row r="100" spans="1:8" s="70" customFormat="1" ht="25.2" customHeight="1">
      <c r="B100" s="71">
        <f t="array" aca="1" ref="B100:H100" ca="1">Days+22+DATE(Calendar7Year,Calendar7MonthOption,1)-WEEKDAY(DATE(Calendar7Year,Calendar7MonthOption,1),WeekdayOption)</f>
        <v>46468</v>
      </c>
      <c r="C100" s="71">
        <f ca="1"/>
        <v>46469</v>
      </c>
      <c r="D100" s="71">
        <f ca="1"/>
        <v>46470</v>
      </c>
      <c r="E100" s="71">
        <f ca="1"/>
        <v>46471</v>
      </c>
      <c r="F100" s="71">
        <f ca="1"/>
        <v>46472</v>
      </c>
      <c r="G100" s="71">
        <f ca="1"/>
        <v>46473</v>
      </c>
      <c r="H100" s="74">
        <f ca="1"/>
        <v>46474</v>
      </c>
    </row>
    <row r="101" spans="1:8" ht="75" customHeight="1">
      <c r="B101" s="73"/>
      <c r="C101" s="73"/>
      <c r="D101" s="73"/>
      <c r="E101" s="73"/>
      <c r="F101" s="73"/>
      <c r="G101" s="73"/>
      <c r="H101" s="75"/>
    </row>
    <row r="102" spans="1:8" s="70" customFormat="1" ht="25.2" customHeight="1">
      <c r="B102" s="71">
        <f t="array" aca="1" ref="B102:H102" ca="1">Days+29+DATE(Calendar7Year,Calendar7MonthOption,1)-WEEKDAY(DATE(Calendar7Year,Calendar7MonthOption,1),WeekdayOption)</f>
        <v>46475</v>
      </c>
      <c r="C102" s="71">
        <f ca="1"/>
        <v>46476</v>
      </c>
      <c r="D102" s="71">
        <f ca="1"/>
        <v>46477</v>
      </c>
      <c r="E102" s="71">
        <f ca="1"/>
        <v>46478</v>
      </c>
      <c r="F102" s="71">
        <f ca="1"/>
        <v>46479</v>
      </c>
      <c r="G102" s="71">
        <f ca="1"/>
        <v>46480</v>
      </c>
      <c r="H102" s="74">
        <f ca="1"/>
        <v>46481</v>
      </c>
    </row>
    <row r="103" spans="1:8" ht="75" customHeight="1">
      <c r="B103" s="73"/>
      <c r="C103" s="73"/>
      <c r="D103" s="73"/>
      <c r="E103" s="73"/>
      <c r="F103" s="73"/>
      <c r="G103" s="73"/>
      <c r="H103" s="72"/>
    </row>
    <row r="104" spans="1:8" s="70" customFormat="1" ht="25.2" customHeight="1">
      <c r="B104" s="71">
        <f t="array" aca="1" ref="B104:C104" ca="1">Days+36+DATE(Calendar7Year,Calendar7MonthOption,1)-WEEKDAY(DATE(Calendar7Year,Calendar7MonthOption,1),WeekdayOption)</f>
        <v>46482</v>
      </c>
      <c r="C104" s="71">
        <f ca="1"/>
        <v>46483</v>
      </c>
      <c r="D104" s="171" t="s">
        <v>37</v>
      </c>
      <c r="E104" s="171"/>
      <c r="F104" s="171"/>
      <c r="G104" s="171"/>
      <c r="H104" s="171"/>
    </row>
    <row r="105" spans="1:8" ht="75" customHeight="1">
      <c r="B105" s="69"/>
      <c r="C105" s="69"/>
      <c r="D105" s="172"/>
      <c r="E105" s="172"/>
      <c r="F105" s="172"/>
      <c r="G105" s="172"/>
      <c r="H105" s="172"/>
    </row>
    <row r="106" spans="1:8" s="85" customFormat="1" ht="30" customHeight="1">
      <c r="B106" s="87"/>
      <c r="C106" s="87"/>
      <c r="D106" s="86"/>
      <c r="E106" s="86"/>
      <c r="F106" s="86"/>
      <c r="G106" s="86"/>
      <c r="H106" s="86"/>
    </row>
    <row r="107" spans="1:8" s="70" customFormat="1" ht="75" customHeight="1">
      <c r="A107" s="92"/>
      <c r="B107" s="84" t="str">
        <f ca="1">TEXT(DATE(Calendar7Year,Calendar7MonthOption+1,1),"mmmm")</f>
        <v>April</v>
      </c>
      <c r="D107" s="90"/>
      <c r="E107" s="90"/>
      <c r="F107" s="83"/>
      <c r="G107" s="83"/>
      <c r="H107" s="82">
        <f ca="1">YEAR(DATE(Calendar7Year,Calendar7MonthOption+1,1))</f>
        <v>2027</v>
      </c>
    </row>
    <row r="108" spans="1:8" s="70" customFormat="1" ht="25.2" customHeight="1">
      <c r="A108" s="89"/>
      <c r="B108" s="81" t="str">
        <f t="shared" ref="B108:H108" ca="1" si="7">UPPER(TEXT(B109,"dddd"))</f>
        <v>MONDAY</v>
      </c>
      <c r="C108" s="79" t="str">
        <f t="shared" ca="1" si="7"/>
        <v>TUESDAY</v>
      </c>
      <c r="D108" s="80" t="str">
        <f t="shared" ca="1" si="7"/>
        <v>WEDNESDAY</v>
      </c>
      <c r="E108" s="79" t="str">
        <f t="shared" ca="1" si="7"/>
        <v>THURSDAY</v>
      </c>
      <c r="F108" s="80" t="str">
        <f t="shared" ca="1" si="7"/>
        <v>FRIDAY</v>
      </c>
      <c r="G108" s="79" t="str">
        <f t="shared" ca="1" si="7"/>
        <v>SATURDAY</v>
      </c>
      <c r="H108" s="78" t="str">
        <f t="shared" ca="1" si="7"/>
        <v>SUNDAY</v>
      </c>
    </row>
    <row r="109" spans="1:8" s="70" customFormat="1" ht="25.2" customHeight="1">
      <c r="B109" s="77">
        <f t="array" aca="1" ref="B109:H109" ca="1">Days+1+DATE(Calendar8Year,Calendar8MonthOption,1)-WEEKDAY(DATE(Calendar8Year,Calendar8MonthOption,1),WeekdayOption)</f>
        <v>46475</v>
      </c>
      <c r="C109" s="77">
        <f ca="1"/>
        <v>46476</v>
      </c>
      <c r="D109" s="77">
        <f ca="1"/>
        <v>46477</v>
      </c>
      <c r="E109" s="77">
        <f ca="1"/>
        <v>46478</v>
      </c>
      <c r="F109" s="77">
        <f ca="1"/>
        <v>46479</v>
      </c>
      <c r="G109" s="77">
        <f ca="1"/>
        <v>46480</v>
      </c>
      <c r="H109" s="76">
        <f ca="1"/>
        <v>46481</v>
      </c>
    </row>
    <row r="110" spans="1:8" ht="75" customHeight="1">
      <c r="B110" s="73"/>
      <c r="C110" s="73"/>
      <c r="D110" s="73"/>
      <c r="E110" s="73"/>
      <c r="F110" s="73"/>
      <c r="G110" s="73"/>
      <c r="H110" s="75"/>
    </row>
    <row r="111" spans="1:8" s="70" customFormat="1" ht="25.2" customHeight="1">
      <c r="B111" s="71">
        <f t="array" aca="1" ref="B111:H111" ca="1">Days+8+DATE(Calendar8Year,Calendar8MonthOption,1)-WEEKDAY(DATE(Calendar8Year,Calendar8MonthOption,1),WeekdayOption)</f>
        <v>46482</v>
      </c>
      <c r="C111" s="71">
        <f ca="1"/>
        <v>46483</v>
      </c>
      <c r="D111" s="71">
        <f ca="1"/>
        <v>46484</v>
      </c>
      <c r="E111" s="71">
        <f ca="1"/>
        <v>46485</v>
      </c>
      <c r="F111" s="71">
        <f ca="1"/>
        <v>46486</v>
      </c>
      <c r="G111" s="71">
        <f ca="1"/>
        <v>46487</v>
      </c>
      <c r="H111" s="74">
        <f ca="1"/>
        <v>46488</v>
      </c>
    </row>
    <row r="112" spans="1:8" ht="75" customHeight="1">
      <c r="B112" s="73"/>
      <c r="C112" s="73"/>
      <c r="D112" s="73"/>
      <c r="E112" s="73"/>
      <c r="F112" s="73"/>
      <c r="G112" s="73"/>
      <c r="H112" s="75"/>
    </row>
    <row r="113" spans="1:8" s="70" customFormat="1" ht="25.2" customHeight="1">
      <c r="B113" s="71">
        <f t="array" aca="1" ref="B113:H113" ca="1">Days+15+DATE(Calendar8Year,Calendar8MonthOption,1)-WEEKDAY(DATE(Calendar8Year,Calendar8MonthOption,1),WeekdayOption)</f>
        <v>46489</v>
      </c>
      <c r="C113" s="71">
        <f ca="1"/>
        <v>46490</v>
      </c>
      <c r="D113" s="71">
        <f ca="1"/>
        <v>46491</v>
      </c>
      <c r="E113" s="71">
        <f ca="1"/>
        <v>46492</v>
      </c>
      <c r="F113" s="71">
        <f ca="1"/>
        <v>46493</v>
      </c>
      <c r="G113" s="71">
        <f ca="1"/>
        <v>46494</v>
      </c>
      <c r="H113" s="74">
        <f ca="1"/>
        <v>46495</v>
      </c>
    </row>
    <row r="114" spans="1:8" ht="75" customHeight="1">
      <c r="B114" s="73"/>
      <c r="C114" s="73"/>
      <c r="D114" s="73"/>
      <c r="E114" s="73"/>
      <c r="F114" s="73"/>
      <c r="G114" s="73"/>
      <c r="H114" s="75"/>
    </row>
    <row r="115" spans="1:8" s="70" customFormat="1" ht="25.2" customHeight="1">
      <c r="B115" s="71">
        <f t="array" aca="1" ref="B115:H115" ca="1">Days+22+DATE(Calendar8Year,Calendar8MonthOption,1)-WEEKDAY(DATE(Calendar8Year,Calendar8MonthOption,1),WeekdayOption)</f>
        <v>46496</v>
      </c>
      <c r="C115" s="71">
        <f ca="1"/>
        <v>46497</v>
      </c>
      <c r="D115" s="71">
        <f ca="1"/>
        <v>46498</v>
      </c>
      <c r="E115" s="71">
        <f ca="1"/>
        <v>46499</v>
      </c>
      <c r="F115" s="71">
        <f ca="1"/>
        <v>46500</v>
      </c>
      <c r="G115" s="71">
        <f ca="1"/>
        <v>46501</v>
      </c>
      <c r="H115" s="74">
        <f ca="1"/>
        <v>46502</v>
      </c>
    </row>
    <row r="116" spans="1:8" ht="75" customHeight="1">
      <c r="B116" s="73"/>
      <c r="C116" s="73"/>
      <c r="D116" s="73"/>
      <c r="E116" s="73"/>
      <c r="F116" s="73"/>
      <c r="G116" s="73"/>
      <c r="H116" s="75"/>
    </row>
    <row r="117" spans="1:8" s="70" customFormat="1" ht="25.2" customHeight="1">
      <c r="B117" s="71">
        <f t="array" aca="1" ref="B117:H117" ca="1">Days+29+DATE(Calendar8Year,Calendar8MonthOption,1)-WEEKDAY(DATE(Calendar8Year,Calendar8MonthOption,1),WeekdayOption)</f>
        <v>46503</v>
      </c>
      <c r="C117" s="71">
        <f ca="1"/>
        <v>46504</v>
      </c>
      <c r="D117" s="71">
        <f ca="1"/>
        <v>46505</v>
      </c>
      <c r="E117" s="71">
        <f ca="1"/>
        <v>46506</v>
      </c>
      <c r="F117" s="71">
        <f ca="1"/>
        <v>46507</v>
      </c>
      <c r="G117" s="71">
        <f ca="1"/>
        <v>46508</v>
      </c>
      <c r="H117" s="74">
        <f ca="1"/>
        <v>46509</v>
      </c>
    </row>
    <row r="118" spans="1:8" ht="75" customHeight="1">
      <c r="B118" s="73"/>
      <c r="C118" s="73"/>
      <c r="D118" s="73"/>
      <c r="E118" s="73"/>
      <c r="F118" s="73"/>
      <c r="G118" s="73"/>
      <c r="H118" s="72"/>
    </row>
    <row r="119" spans="1:8" s="70" customFormat="1" ht="25.2" customHeight="1">
      <c r="B119" s="71">
        <f t="array" aca="1" ref="B119:C119" ca="1">Days+36+DATE(Calendar8Year,Calendar8MonthOption,1)-WEEKDAY(DATE(Calendar8Year,Calendar8MonthOption,1),WeekdayOption)</f>
        <v>46510</v>
      </c>
      <c r="C119" s="71">
        <f ca="1"/>
        <v>46511</v>
      </c>
      <c r="D119" s="171" t="s">
        <v>37</v>
      </c>
      <c r="E119" s="171"/>
      <c r="F119" s="171"/>
      <c r="G119" s="171"/>
      <c r="H119" s="171"/>
    </row>
    <row r="120" spans="1:8" ht="75" customHeight="1">
      <c r="B120" s="69"/>
      <c r="C120" s="69"/>
      <c r="D120" s="172"/>
      <c r="E120" s="172"/>
      <c r="F120" s="172"/>
      <c r="G120" s="172"/>
      <c r="H120" s="172"/>
    </row>
    <row r="121" spans="1:8" s="85" customFormat="1" ht="30" customHeight="1">
      <c r="B121" s="87"/>
      <c r="C121" s="87"/>
      <c r="D121" s="86"/>
      <c r="E121" s="86"/>
      <c r="F121" s="86"/>
      <c r="G121" s="86"/>
      <c r="H121" s="86"/>
    </row>
    <row r="122" spans="1:8" s="70" customFormat="1" ht="75" customHeight="1">
      <c r="A122" s="92"/>
      <c r="B122" s="84" t="str">
        <f ca="1">TEXT(DATE(Calendar8Year,Calendar8MonthOption+1,1),"mmmm")</f>
        <v>May</v>
      </c>
      <c r="D122" s="88"/>
      <c r="E122" s="88"/>
      <c r="F122" s="83"/>
      <c r="G122" s="83"/>
      <c r="H122" s="82">
        <f ca="1">YEAR(DATE(Calendar8Year,Calendar8MonthOption+1,1))</f>
        <v>2027</v>
      </c>
    </row>
    <row r="123" spans="1:8" s="70" customFormat="1" ht="25.2" customHeight="1">
      <c r="A123" s="89"/>
      <c r="B123" s="81" t="str">
        <f t="shared" ref="B123:H123" ca="1" si="8">UPPER(TEXT(B124,"dddd"))</f>
        <v>MONDAY</v>
      </c>
      <c r="C123" s="79" t="str">
        <f t="shared" ca="1" si="8"/>
        <v>TUESDAY</v>
      </c>
      <c r="D123" s="80" t="str">
        <f t="shared" ca="1" si="8"/>
        <v>WEDNESDAY</v>
      </c>
      <c r="E123" s="79" t="str">
        <f t="shared" ca="1" si="8"/>
        <v>THURSDAY</v>
      </c>
      <c r="F123" s="80" t="str">
        <f t="shared" ca="1" si="8"/>
        <v>FRIDAY</v>
      </c>
      <c r="G123" s="79" t="str">
        <f t="shared" ca="1" si="8"/>
        <v>SATURDAY</v>
      </c>
      <c r="H123" s="78" t="str">
        <f t="shared" ca="1" si="8"/>
        <v>SUNDAY</v>
      </c>
    </row>
    <row r="124" spans="1:8" s="70" customFormat="1" ht="25.2" customHeight="1">
      <c r="B124" s="77">
        <f t="array" aca="1" ref="B124:H124" ca="1">Days+1+DATE(Calendar9Year,Calendar9MonthOption,1)-WEEKDAY(DATE(Calendar9Year,Calendar9MonthOption,1),WeekdayOption)</f>
        <v>46503</v>
      </c>
      <c r="C124" s="77">
        <f ca="1"/>
        <v>46504</v>
      </c>
      <c r="D124" s="77">
        <f ca="1"/>
        <v>46505</v>
      </c>
      <c r="E124" s="77">
        <f ca="1"/>
        <v>46506</v>
      </c>
      <c r="F124" s="77">
        <f ca="1"/>
        <v>46507</v>
      </c>
      <c r="G124" s="77">
        <f ca="1"/>
        <v>46508</v>
      </c>
      <c r="H124" s="76">
        <f ca="1"/>
        <v>46509</v>
      </c>
    </row>
    <row r="125" spans="1:8" ht="75" customHeight="1">
      <c r="B125" s="73"/>
      <c r="C125" s="73"/>
      <c r="D125" s="73"/>
      <c r="E125" s="73"/>
      <c r="F125" s="73"/>
      <c r="G125" s="73"/>
      <c r="H125" s="75"/>
    </row>
    <row r="126" spans="1:8" s="70" customFormat="1" ht="25.2" customHeight="1">
      <c r="B126" s="71">
        <f t="array" aca="1" ref="B126:H126" ca="1">Days+8+DATE(Calendar9Year,Calendar9MonthOption,1)-WEEKDAY(DATE(Calendar9Year,Calendar9MonthOption,1),WeekdayOption)</f>
        <v>46510</v>
      </c>
      <c r="C126" s="71">
        <f ca="1"/>
        <v>46511</v>
      </c>
      <c r="D126" s="71">
        <f ca="1"/>
        <v>46512</v>
      </c>
      <c r="E126" s="71">
        <f ca="1"/>
        <v>46513</v>
      </c>
      <c r="F126" s="71">
        <f ca="1"/>
        <v>46514</v>
      </c>
      <c r="G126" s="71">
        <f ca="1"/>
        <v>46515</v>
      </c>
      <c r="H126" s="74">
        <f ca="1"/>
        <v>46516</v>
      </c>
    </row>
    <row r="127" spans="1:8" ht="75" customHeight="1">
      <c r="B127" s="73"/>
      <c r="C127" s="73"/>
      <c r="D127" s="73"/>
      <c r="E127" s="73"/>
      <c r="F127" s="73"/>
      <c r="G127" s="73"/>
      <c r="H127" s="75"/>
    </row>
    <row r="128" spans="1:8" s="70" customFormat="1" ht="25.2" customHeight="1">
      <c r="B128" s="71">
        <f t="array" aca="1" ref="B128:H128" ca="1">Days+15+DATE(Calendar9Year,Calendar9MonthOption,1)-WEEKDAY(DATE(Calendar9Year,Calendar9MonthOption,1),WeekdayOption)</f>
        <v>46517</v>
      </c>
      <c r="C128" s="71">
        <f ca="1"/>
        <v>46518</v>
      </c>
      <c r="D128" s="71">
        <f ca="1"/>
        <v>46519</v>
      </c>
      <c r="E128" s="71">
        <f ca="1"/>
        <v>46520</v>
      </c>
      <c r="F128" s="71">
        <f ca="1"/>
        <v>46521</v>
      </c>
      <c r="G128" s="71">
        <f ca="1"/>
        <v>46522</v>
      </c>
      <c r="H128" s="74">
        <f ca="1"/>
        <v>46523</v>
      </c>
    </row>
    <row r="129" spans="1:8" ht="75" customHeight="1">
      <c r="B129" s="73"/>
      <c r="C129" s="73"/>
      <c r="D129" s="73"/>
      <c r="E129" s="73"/>
      <c r="F129" s="73"/>
      <c r="G129" s="73"/>
      <c r="H129" s="75"/>
    </row>
    <row r="130" spans="1:8" s="70" customFormat="1" ht="25.2" customHeight="1">
      <c r="B130" s="71">
        <f t="array" aca="1" ref="B130:H130" ca="1">Days+22+DATE(Calendar9Year,Calendar9MonthOption,1)-WEEKDAY(DATE(Calendar9Year,Calendar9MonthOption,1),WeekdayOption)</f>
        <v>46524</v>
      </c>
      <c r="C130" s="71">
        <f ca="1"/>
        <v>46525</v>
      </c>
      <c r="D130" s="71">
        <f ca="1"/>
        <v>46526</v>
      </c>
      <c r="E130" s="71">
        <f ca="1"/>
        <v>46527</v>
      </c>
      <c r="F130" s="71">
        <f ca="1"/>
        <v>46528</v>
      </c>
      <c r="G130" s="71">
        <f ca="1"/>
        <v>46529</v>
      </c>
      <c r="H130" s="74">
        <f ca="1"/>
        <v>46530</v>
      </c>
    </row>
    <row r="131" spans="1:8" ht="75" customHeight="1">
      <c r="B131" s="73"/>
      <c r="C131" s="73"/>
      <c r="D131" s="73"/>
      <c r="E131" s="73"/>
      <c r="F131" s="73"/>
      <c r="G131" s="73"/>
      <c r="H131" s="75"/>
    </row>
    <row r="132" spans="1:8" s="70" customFormat="1" ht="25.2" customHeight="1">
      <c r="B132" s="71">
        <f t="array" aca="1" ref="B132:H132" ca="1">Days+29+DATE(Calendar9Year,Calendar9MonthOption,1)-WEEKDAY(DATE(Calendar9Year,Calendar9MonthOption,1),WeekdayOption)</f>
        <v>46531</v>
      </c>
      <c r="C132" s="71">
        <f ca="1"/>
        <v>46532</v>
      </c>
      <c r="D132" s="71">
        <f ca="1"/>
        <v>46533</v>
      </c>
      <c r="E132" s="71">
        <f ca="1"/>
        <v>46534</v>
      </c>
      <c r="F132" s="71">
        <f ca="1"/>
        <v>46535</v>
      </c>
      <c r="G132" s="71">
        <f ca="1"/>
        <v>46536</v>
      </c>
      <c r="H132" s="74">
        <f ca="1"/>
        <v>46537</v>
      </c>
    </row>
    <row r="133" spans="1:8" ht="75" customHeight="1">
      <c r="B133" s="73"/>
      <c r="C133" s="73"/>
      <c r="D133" s="73"/>
      <c r="E133" s="73"/>
      <c r="F133" s="73"/>
      <c r="G133" s="73"/>
      <c r="H133" s="72"/>
    </row>
    <row r="134" spans="1:8" s="70" customFormat="1" ht="25.2" customHeight="1">
      <c r="B134" s="71">
        <f t="array" aca="1" ref="B134:C134" ca="1">Days+36+DATE(Calendar9Year,Calendar9MonthOption,1)-WEEKDAY(DATE(Calendar9Year,Calendar9MonthOption,1),WeekdayOption)</f>
        <v>46538</v>
      </c>
      <c r="C134" s="71">
        <f ca="1"/>
        <v>46539</v>
      </c>
      <c r="D134" s="171" t="s">
        <v>37</v>
      </c>
      <c r="E134" s="171"/>
      <c r="F134" s="171"/>
      <c r="G134" s="171"/>
      <c r="H134" s="171"/>
    </row>
    <row r="135" spans="1:8" ht="75" customHeight="1">
      <c r="B135" s="69"/>
      <c r="C135" s="69"/>
      <c r="D135" s="172"/>
      <c r="E135" s="172"/>
      <c r="F135" s="172"/>
      <c r="G135" s="172"/>
      <c r="H135" s="172"/>
    </row>
    <row r="136" spans="1:8" s="85" customFormat="1" ht="30" customHeight="1">
      <c r="B136" s="87"/>
      <c r="C136" s="87"/>
      <c r="D136" s="86"/>
      <c r="E136" s="86"/>
      <c r="F136" s="86"/>
      <c r="G136" s="86"/>
      <c r="H136" s="86"/>
    </row>
    <row r="137" spans="1:8" s="70" customFormat="1" ht="75" customHeight="1">
      <c r="A137" s="92"/>
      <c r="B137" s="91" t="str">
        <f ca="1">TEXT(DATE(Calendar9Year,Calendar9MonthOption+1,1),"mmmm")</f>
        <v>June</v>
      </c>
      <c r="D137" s="90"/>
      <c r="E137" s="90"/>
      <c r="F137" s="83"/>
      <c r="G137" s="83"/>
      <c r="H137" s="82">
        <f ca="1">YEAR(DATE(Calendar9Year,Calendar9MonthOption+1,1))</f>
        <v>2027</v>
      </c>
    </row>
    <row r="138" spans="1:8" s="70" customFormat="1" ht="25.2" customHeight="1">
      <c r="A138" s="89"/>
      <c r="B138" s="81" t="str">
        <f t="shared" ref="B138:H138" ca="1" si="9">UPPER(TEXT(B139,"dddd"))</f>
        <v>MONDAY</v>
      </c>
      <c r="C138" s="79" t="str">
        <f t="shared" ca="1" si="9"/>
        <v>TUESDAY</v>
      </c>
      <c r="D138" s="80" t="str">
        <f t="shared" ca="1" si="9"/>
        <v>WEDNESDAY</v>
      </c>
      <c r="E138" s="79" t="str">
        <f t="shared" ca="1" si="9"/>
        <v>THURSDAY</v>
      </c>
      <c r="F138" s="80" t="str">
        <f t="shared" ca="1" si="9"/>
        <v>FRIDAY</v>
      </c>
      <c r="G138" s="79" t="str">
        <f t="shared" ca="1" si="9"/>
        <v>SATURDAY</v>
      </c>
      <c r="H138" s="78" t="str">
        <f t="shared" ca="1" si="9"/>
        <v>SUNDAY</v>
      </c>
    </row>
    <row r="139" spans="1:8" s="70" customFormat="1" ht="25.2" customHeight="1">
      <c r="B139" s="77">
        <f t="array" aca="1" ref="B139:H139" ca="1">Days+1+DATE(Calendar10Year,Calendar10MonthOption,1)-WEEKDAY(DATE(Calendar10Year,Calendar10MonthOption,1),WeekdayOption)</f>
        <v>46538</v>
      </c>
      <c r="C139" s="77">
        <f ca="1"/>
        <v>46539</v>
      </c>
      <c r="D139" s="77">
        <f ca="1"/>
        <v>46540</v>
      </c>
      <c r="E139" s="77">
        <f ca="1"/>
        <v>46541</v>
      </c>
      <c r="F139" s="77">
        <f ca="1"/>
        <v>46542</v>
      </c>
      <c r="G139" s="77">
        <f ca="1"/>
        <v>46543</v>
      </c>
      <c r="H139" s="76">
        <f ca="1"/>
        <v>46544</v>
      </c>
    </row>
    <row r="140" spans="1:8" ht="75" customHeight="1">
      <c r="B140" s="73"/>
      <c r="C140" s="73"/>
      <c r="D140" s="73"/>
      <c r="E140" s="73"/>
      <c r="F140" s="73"/>
      <c r="G140" s="73"/>
      <c r="H140" s="75"/>
    </row>
    <row r="141" spans="1:8" s="70" customFormat="1" ht="25.2" customHeight="1">
      <c r="B141" s="71">
        <f t="array" aca="1" ref="B141:H141" ca="1">Days+8+DATE(Calendar10Year,Calendar10MonthOption,1)-WEEKDAY(DATE(Calendar10Year,Calendar10MonthOption,1),WeekdayOption)</f>
        <v>46545</v>
      </c>
      <c r="C141" s="71">
        <f ca="1"/>
        <v>46546</v>
      </c>
      <c r="D141" s="71">
        <f ca="1"/>
        <v>46547</v>
      </c>
      <c r="E141" s="71">
        <f ca="1"/>
        <v>46548</v>
      </c>
      <c r="F141" s="71">
        <f ca="1"/>
        <v>46549</v>
      </c>
      <c r="G141" s="71">
        <f ca="1"/>
        <v>46550</v>
      </c>
      <c r="H141" s="74">
        <f ca="1"/>
        <v>46551</v>
      </c>
    </row>
    <row r="142" spans="1:8" ht="75" customHeight="1">
      <c r="B142" s="73"/>
      <c r="C142" s="73"/>
      <c r="D142" s="73"/>
      <c r="E142" s="73"/>
      <c r="F142" s="73"/>
      <c r="G142" s="73"/>
      <c r="H142" s="75"/>
    </row>
    <row r="143" spans="1:8" s="70" customFormat="1" ht="25.2" customHeight="1">
      <c r="B143" s="71">
        <f t="array" aca="1" ref="B143:H143" ca="1">Days+15+DATE(Calendar10Year,Calendar10MonthOption,1)-WEEKDAY(DATE(Calendar10Year,Calendar10MonthOption,1),WeekdayOption)</f>
        <v>46552</v>
      </c>
      <c r="C143" s="71">
        <f ca="1"/>
        <v>46553</v>
      </c>
      <c r="D143" s="71">
        <f ca="1"/>
        <v>46554</v>
      </c>
      <c r="E143" s="71">
        <f ca="1"/>
        <v>46555</v>
      </c>
      <c r="F143" s="71">
        <f ca="1"/>
        <v>46556</v>
      </c>
      <c r="G143" s="71">
        <f ca="1"/>
        <v>46557</v>
      </c>
      <c r="H143" s="74">
        <f ca="1"/>
        <v>46558</v>
      </c>
    </row>
    <row r="144" spans="1:8" ht="75" customHeight="1">
      <c r="B144" s="73"/>
      <c r="C144" s="73"/>
      <c r="D144" s="73"/>
      <c r="E144" s="73"/>
      <c r="F144" s="73"/>
      <c r="G144" s="73"/>
      <c r="H144" s="75"/>
    </row>
    <row r="145" spans="2:8" s="70" customFormat="1" ht="25.2" customHeight="1">
      <c r="B145" s="71">
        <f t="array" aca="1" ref="B145:H145" ca="1">Days+22+DATE(Calendar10Year,Calendar10MonthOption,1)-WEEKDAY(DATE(Calendar10Year,Calendar10MonthOption,1),WeekdayOption)</f>
        <v>46559</v>
      </c>
      <c r="C145" s="71">
        <f ca="1"/>
        <v>46560</v>
      </c>
      <c r="D145" s="71">
        <f ca="1"/>
        <v>46561</v>
      </c>
      <c r="E145" s="71">
        <f ca="1"/>
        <v>46562</v>
      </c>
      <c r="F145" s="71">
        <f ca="1"/>
        <v>46563</v>
      </c>
      <c r="G145" s="71">
        <f ca="1"/>
        <v>46564</v>
      </c>
      <c r="H145" s="74">
        <f ca="1"/>
        <v>46565</v>
      </c>
    </row>
    <row r="146" spans="2:8" ht="75" customHeight="1">
      <c r="B146" s="73"/>
      <c r="C146" s="73"/>
      <c r="D146" s="73"/>
      <c r="E146" s="73"/>
      <c r="F146" s="73"/>
      <c r="G146" s="73"/>
      <c r="H146" s="75"/>
    </row>
    <row r="147" spans="2:8" s="70" customFormat="1" ht="25.2" customHeight="1">
      <c r="B147" s="71">
        <f t="array" aca="1" ref="B147:H147" ca="1">Days+29+DATE(Calendar10Year,Calendar10MonthOption,1)-WEEKDAY(DATE(Calendar10Year,Calendar10MonthOption,1),WeekdayOption)</f>
        <v>46566</v>
      </c>
      <c r="C147" s="71">
        <f ca="1"/>
        <v>46567</v>
      </c>
      <c r="D147" s="71">
        <f ca="1"/>
        <v>46568</v>
      </c>
      <c r="E147" s="71">
        <f ca="1"/>
        <v>46569</v>
      </c>
      <c r="F147" s="71">
        <f ca="1"/>
        <v>46570</v>
      </c>
      <c r="G147" s="71">
        <f ca="1"/>
        <v>46571</v>
      </c>
      <c r="H147" s="74">
        <f ca="1"/>
        <v>46572</v>
      </c>
    </row>
    <row r="148" spans="2:8" ht="75" customHeight="1">
      <c r="B148" s="73"/>
      <c r="C148" s="73"/>
      <c r="D148" s="73"/>
      <c r="E148" s="73"/>
      <c r="F148" s="73"/>
      <c r="G148" s="73"/>
      <c r="H148" s="72"/>
    </row>
    <row r="149" spans="2:8" s="70" customFormat="1" ht="25.2" customHeight="1">
      <c r="B149" s="71">
        <f t="array" aca="1" ref="B149:C149" ca="1">Days+36+DATE(Calendar10Year,Calendar10MonthOption,1)-WEEKDAY(DATE(Calendar10Year,Calendar10MonthOption,1),WeekdayOption)</f>
        <v>46573</v>
      </c>
      <c r="C149" s="71">
        <f ca="1"/>
        <v>46574</v>
      </c>
      <c r="D149" s="171" t="s">
        <v>37</v>
      </c>
      <c r="E149" s="171"/>
      <c r="F149" s="171"/>
      <c r="G149" s="171"/>
      <c r="H149" s="171"/>
    </row>
    <row r="150" spans="2:8" ht="75" customHeight="1">
      <c r="B150" s="69"/>
      <c r="C150" s="69"/>
      <c r="D150" s="172"/>
      <c r="E150" s="172"/>
      <c r="F150" s="172"/>
      <c r="G150" s="172"/>
      <c r="H150" s="172"/>
    </row>
    <row r="151" spans="2:8" s="85" customFormat="1" ht="30" customHeight="1">
      <c r="B151" s="87"/>
      <c r="C151" s="87"/>
      <c r="D151" s="86"/>
      <c r="E151" s="86"/>
      <c r="F151" s="86"/>
      <c r="G151" s="86"/>
      <c r="H151" s="86"/>
    </row>
    <row r="152" spans="2:8" s="70" customFormat="1" ht="75" customHeight="1">
      <c r="B152" s="84" t="str">
        <f ca="1">TEXT(DATE(Calendar10Year,Calendar10MonthOption+1,1),"mmmm")</f>
        <v>July</v>
      </c>
      <c r="D152" s="88"/>
      <c r="E152" s="88"/>
      <c r="F152" s="83"/>
      <c r="G152" s="83"/>
      <c r="H152" s="82">
        <f ca="1">YEAR(DATE(Calendar10Year,Calendar10MonthOption+1,1))</f>
        <v>2027</v>
      </c>
    </row>
    <row r="153" spans="2:8" s="70" customFormat="1" ht="25.2" customHeight="1">
      <c r="B153" s="81" t="str">
        <f t="shared" ref="B153:H153" ca="1" si="10">UPPER(TEXT(B154,"dddd"))</f>
        <v>MONDAY</v>
      </c>
      <c r="C153" s="79" t="str">
        <f t="shared" ca="1" si="10"/>
        <v>TUESDAY</v>
      </c>
      <c r="D153" s="80" t="str">
        <f t="shared" ca="1" si="10"/>
        <v>WEDNESDAY</v>
      </c>
      <c r="E153" s="79" t="str">
        <f t="shared" ca="1" si="10"/>
        <v>THURSDAY</v>
      </c>
      <c r="F153" s="80" t="str">
        <f t="shared" ca="1" si="10"/>
        <v>FRIDAY</v>
      </c>
      <c r="G153" s="79" t="str">
        <f t="shared" ca="1" si="10"/>
        <v>SATURDAY</v>
      </c>
      <c r="H153" s="78" t="str">
        <f t="shared" ca="1" si="10"/>
        <v>SUNDAY</v>
      </c>
    </row>
    <row r="154" spans="2:8" s="70" customFormat="1" ht="25.2" customHeight="1">
      <c r="B154" s="77">
        <f t="array" aca="1" ref="B154:H154" ca="1">Days+1+DATE(Calendar11Year,Calendar11MonthOption,1)-WEEKDAY(DATE(Calendar11Year,Calendar11MonthOption,1),WeekdayOption)</f>
        <v>46566</v>
      </c>
      <c r="C154" s="77">
        <f ca="1"/>
        <v>46567</v>
      </c>
      <c r="D154" s="77">
        <f ca="1"/>
        <v>46568</v>
      </c>
      <c r="E154" s="77">
        <f ca="1"/>
        <v>46569</v>
      </c>
      <c r="F154" s="77">
        <f ca="1"/>
        <v>46570</v>
      </c>
      <c r="G154" s="77">
        <f ca="1"/>
        <v>46571</v>
      </c>
      <c r="H154" s="76">
        <f ca="1"/>
        <v>46572</v>
      </c>
    </row>
    <row r="155" spans="2:8" ht="75" customHeight="1">
      <c r="B155" s="73"/>
      <c r="C155" s="73"/>
      <c r="D155" s="73"/>
      <c r="E155" s="73"/>
      <c r="F155" s="73"/>
      <c r="G155" s="73"/>
      <c r="H155" s="75"/>
    </row>
    <row r="156" spans="2:8" s="70" customFormat="1" ht="25.2" customHeight="1">
      <c r="B156" s="71">
        <f t="array" aca="1" ref="B156:H156" ca="1">Days+8+DATE(Calendar11Year,Calendar11MonthOption,1)-WEEKDAY(DATE(Calendar11Year,Calendar11MonthOption,1),WeekdayOption)</f>
        <v>46573</v>
      </c>
      <c r="C156" s="71">
        <f ca="1"/>
        <v>46574</v>
      </c>
      <c r="D156" s="71">
        <f ca="1"/>
        <v>46575</v>
      </c>
      <c r="E156" s="71">
        <f ca="1"/>
        <v>46576</v>
      </c>
      <c r="F156" s="71">
        <f ca="1"/>
        <v>46577</v>
      </c>
      <c r="G156" s="71">
        <f ca="1"/>
        <v>46578</v>
      </c>
      <c r="H156" s="74">
        <f ca="1"/>
        <v>46579</v>
      </c>
    </row>
    <row r="157" spans="2:8" ht="75" customHeight="1">
      <c r="B157" s="73"/>
      <c r="C157" s="73"/>
      <c r="D157" s="73"/>
      <c r="E157" s="73"/>
      <c r="F157" s="73"/>
      <c r="G157" s="73"/>
      <c r="H157" s="75"/>
    </row>
    <row r="158" spans="2:8" s="70" customFormat="1" ht="25.2" customHeight="1">
      <c r="B158" s="71">
        <f t="array" aca="1" ref="B158:H158" ca="1">Days+15+DATE(Calendar11Year,Calendar11MonthOption,1)-WEEKDAY(DATE(Calendar11Year,Calendar11MonthOption,1),WeekdayOption)</f>
        <v>46580</v>
      </c>
      <c r="C158" s="71">
        <f ca="1"/>
        <v>46581</v>
      </c>
      <c r="D158" s="71">
        <f ca="1"/>
        <v>46582</v>
      </c>
      <c r="E158" s="71">
        <f ca="1"/>
        <v>46583</v>
      </c>
      <c r="F158" s="71">
        <f ca="1"/>
        <v>46584</v>
      </c>
      <c r="G158" s="71">
        <f ca="1"/>
        <v>46585</v>
      </c>
      <c r="H158" s="74">
        <f ca="1"/>
        <v>46586</v>
      </c>
    </row>
    <row r="159" spans="2:8" ht="75" customHeight="1">
      <c r="B159" s="73"/>
      <c r="C159" s="73"/>
      <c r="D159" s="73"/>
      <c r="E159" s="73"/>
      <c r="F159" s="73"/>
      <c r="G159" s="73"/>
      <c r="H159" s="75"/>
    </row>
    <row r="160" spans="2:8" s="70" customFormat="1" ht="25.2" customHeight="1">
      <c r="B160" s="71">
        <f t="array" aca="1" ref="B160:H160" ca="1">Days+22+DATE(Calendar11Year,Calendar11MonthOption,1)-WEEKDAY(DATE(Calendar11Year,Calendar11MonthOption,1),WeekdayOption)</f>
        <v>46587</v>
      </c>
      <c r="C160" s="71">
        <f ca="1"/>
        <v>46588</v>
      </c>
      <c r="D160" s="71">
        <f ca="1"/>
        <v>46589</v>
      </c>
      <c r="E160" s="71">
        <f ca="1"/>
        <v>46590</v>
      </c>
      <c r="F160" s="71">
        <f ca="1"/>
        <v>46591</v>
      </c>
      <c r="G160" s="71">
        <f ca="1"/>
        <v>46592</v>
      </c>
      <c r="H160" s="74">
        <f ca="1"/>
        <v>46593</v>
      </c>
    </row>
    <row r="161" spans="2:8" ht="75" customHeight="1">
      <c r="B161" s="73"/>
      <c r="C161" s="73"/>
      <c r="D161" s="73"/>
      <c r="E161" s="73"/>
      <c r="F161" s="73"/>
      <c r="G161" s="73"/>
      <c r="H161" s="75"/>
    </row>
    <row r="162" spans="2:8" s="70" customFormat="1" ht="24" customHeight="1">
      <c r="B162" s="71">
        <f t="array" aca="1" ref="B162:H162" ca="1">Days+29+DATE(Calendar11Year,Calendar11MonthOption,1)-WEEKDAY(DATE(Calendar11Year,Calendar11MonthOption,1),WeekdayOption)</f>
        <v>46594</v>
      </c>
      <c r="C162" s="71">
        <f ca="1"/>
        <v>46595</v>
      </c>
      <c r="D162" s="71">
        <f ca="1"/>
        <v>46596</v>
      </c>
      <c r="E162" s="71">
        <f ca="1"/>
        <v>46597</v>
      </c>
      <c r="F162" s="71">
        <f ca="1"/>
        <v>46598</v>
      </c>
      <c r="G162" s="71">
        <f ca="1"/>
        <v>46599</v>
      </c>
      <c r="H162" s="74">
        <f ca="1"/>
        <v>46600</v>
      </c>
    </row>
    <row r="163" spans="2:8" ht="75" customHeight="1">
      <c r="B163" s="73"/>
      <c r="C163" s="73"/>
      <c r="D163" s="73"/>
      <c r="E163" s="73"/>
      <c r="F163" s="73"/>
      <c r="G163" s="73"/>
      <c r="H163" s="72"/>
    </row>
    <row r="164" spans="2:8" s="70" customFormat="1" ht="25.2" customHeight="1">
      <c r="B164" s="71">
        <f t="array" aca="1" ref="B164:C164" ca="1">Days+36+DATE(Calendar11Year,Calendar11MonthOption,1)-WEEKDAY(DATE(Calendar11Year,Calendar11MonthOption,1),WeekdayOption)</f>
        <v>46601</v>
      </c>
      <c r="C164" s="71">
        <f ca="1"/>
        <v>46602</v>
      </c>
      <c r="D164" s="171" t="s">
        <v>37</v>
      </c>
      <c r="E164" s="171"/>
      <c r="F164" s="171"/>
      <c r="G164" s="171"/>
      <c r="H164" s="171"/>
    </row>
    <row r="165" spans="2:8" ht="75" customHeight="1">
      <c r="B165" s="69"/>
      <c r="C165" s="69"/>
      <c r="D165" s="172"/>
      <c r="E165" s="172"/>
      <c r="F165" s="172"/>
      <c r="G165" s="172"/>
      <c r="H165" s="172"/>
    </row>
    <row r="166" spans="2:8" s="85" customFormat="1" ht="30" customHeight="1">
      <c r="B166" s="87"/>
      <c r="C166" s="87"/>
      <c r="D166" s="86"/>
      <c r="E166" s="86"/>
      <c r="F166" s="86"/>
      <c r="G166" s="86"/>
      <c r="H166" s="86"/>
    </row>
    <row r="167" spans="2:8" s="70" customFormat="1" ht="75" customHeight="1">
      <c r="B167" s="84" t="str">
        <f ca="1">TEXT(DATE(Calendar11Year,Calendar11MonthOption+1,1),"mmmm")</f>
        <v>August</v>
      </c>
      <c r="D167" s="84"/>
      <c r="E167" s="84"/>
      <c r="F167" s="83"/>
      <c r="G167" s="83"/>
      <c r="H167" s="82">
        <f ca="1">YEAR(DATE(Calendar11Year,Calendar11MonthOption+1,1))</f>
        <v>2027</v>
      </c>
    </row>
    <row r="168" spans="2:8" s="70" customFormat="1" ht="25.2" customHeight="1">
      <c r="B168" s="81" t="str">
        <f t="shared" ref="B168:H168" ca="1" si="11">UPPER(TEXT(B169,"dddd"))</f>
        <v>MONDAY</v>
      </c>
      <c r="C168" s="79" t="str">
        <f t="shared" ca="1" si="11"/>
        <v>TUESDAY</v>
      </c>
      <c r="D168" s="80" t="str">
        <f t="shared" ca="1" si="11"/>
        <v>WEDNESDAY</v>
      </c>
      <c r="E168" s="79" t="str">
        <f t="shared" ca="1" si="11"/>
        <v>THURSDAY</v>
      </c>
      <c r="F168" s="80" t="str">
        <f t="shared" ca="1" si="11"/>
        <v>FRIDAY</v>
      </c>
      <c r="G168" s="79" t="str">
        <f t="shared" ca="1" si="11"/>
        <v>SATURDAY</v>
      </c>
      <c r="H168" s="78" t="str">
        <f t="shared" ca="1" si="11"/>
        <v>SUNDAY</v>
      </c>
    </row>
    <row r="169" spans="2:8" s="70" customFormat="1" ht="25.2" customHeight="1">
      <c r="B169" s="77">
        <f t="array" aca="1" ref="B169:H169" ca="1">Days+1+DATE(Calendar12Year,Calendar12MonthOption,1)-WEEKDAY(DATE(Calendar12Year,Calendar12MonthOption,1),WeekdayOption)</f>
        <v>46594</v>
      </c>
      <c r="C169" s="77">
        <f ca="1"/>
        <v>46595</v>
      </c>
      <c r="D169" s="77">
        <f ca="1"/>
        <v>46596</v>
      </c>
      <c r="E169" s="77">
        <f ca="1"/>
        <v>46597</v>
      </c>
      <c r="F169" s="77">
        <f ca="1"/>
        <v>46598</v>
      </c>
      <c r="G169" s="77">
        <f ca="1"/>
        <v>46599</v>
      </c>
      <c r="H169" s="76">
        <f ca="1"/>
        <v>46600</v>
      </c>
    </row>
    <row r="170" spans="2:8" ht="75" customHeight="1">
      <c r="B170" s="73"/>
      <c r="C170" s="73"/>
      <c r="D170" s="73"/>
      <c r="E170" s="73"/>
      <c r="F170" s="73"/>
      <c r="G170" s="73"/>
      <c r="H170" s="75"/>
    </row>
    <row r="171" spans="2:8" s="70" customFormat="1" ht="25.2" customHeight="1">
      <c r="B171" s="71">
        <f t="array" aca="1" ref="B171:H171" ca="1">Days+8+DATE(Calendar12Year,Calendar12MonthOption,1)-WEEKDAY(DATE(Calendar12Year,Calendar12MonthOption,1),WeekdayOption)</f>
        <v>46601</v>
      </c>
      <c r="C171" s="71">
        <f ca="1"/>
        <v>46602</v>
      </c>
      <c r="D171" s="71">
        <f ca="1"/>
        <v>46603</v>
      </c>
      <c r="E171" s="71">
        <f ca="1"/>
        <v>46604</v>
      </c>
      <c r="F171" s="71">
        <f ca="1"/>
        <v>46605</v>
      </c>
      <c r="G171" s="71">
        <f ca="1"/>
        <v>46606</v>
      </c>
      <c r="H171" s="74">
        <f ca="1"/>
        <v>46607</v>
      </c>
    </row>
    <row r="172" spans="2:8" ht="75" customHeight="1">
      <c r="B172" s="73"/>
      <c r="C172" s="73"/>
      <c r="D172" s="73"/>
      <c r="E172" s="73"/>
      <c r="F172" s="73"/>
      <c r="G172" s="73"/>
      <c r="H172" s="75"/>
    </row>
    <row r="173" spans="2:8" s="70" customFormat="1" ht="25.2" customHeight="1">
      <c r="B173" s="71">
        <f t="array" aca="1" ref="B173:H173" ca="1">Days+15+DATE(Calendar12Year,Calendar12MonthOption,1)-WEEKDAY(DATE(Calendar12Year,Calendar12MonthOption,1),WeekdayOption)</f>
        <v>46608</v>
      </c>
      <c r="C173" s="71">
        <f ca="1"/>
        <v>46609</v>
      </c>
      <c r="D173" s="71">
        <f ca="1"/>
        <v>46610</v>
      </c>
      <c r="E173" s="71">
        <f ca="1"/>
        <v>46611</v>
      </c>
      <c r="F173" s="71">
        <f ca="1"/>
        <v>46612</v>
      </c>
      <c r="G173" s="71">
        <f ca="1"/>
        <v>46613</v>
      </c>
      <c r="H173" s="74">
        <f ca="1"/>
        <v>46614</v>
      </c>
    </row>
    <row r="174" spans="2:8" ht="75" customHeight="1">
      <c r="B174" s="73"/>
      <c r="C174" s="73"/>
      <c r="D174" s="73"/>
      <c r="E174" s="73"/>
      <c r="F174" s="73"/>
      <c r="G174" s="73"/>
      <c r="H174" s="75"/>
    </row>
    <row r="175" spans="2:8" s="70" customFormat="1" ht="25.2" customHeight="1">
      <c r="B175" s="71">
        <f t="array" aca="1" ref="B175:H175" ca="1">Days+22+DATE(Calendar12Year,Calendar12MonthOption,1)-WEEKDAY(DATE(Calendar12Year,Calendar12MonthOption,1),WeekdayOption)</f>
        <v>46615</v>
      </c>
      <c r="C175" s="71">
        <f ca="1"/>
        <v>46616</v>
      </c>
      <c r="D175" s="71">
        <f ca="1"/>
        <v>46617</v>
      </c>
      <c r="E175" s="71">
        <f ca="1"/>
        <v>46618</v>
      </c>
      <c r="F175" s="71">
        <f ca="1"/>
        <v>46619</v>
      </c>
      <c r="G175" s="71">
        <f ca="1"/>
        <v>46620</v>
      </c>
      <c r="H175" s="74">
        <f ca="1"/>
        <v>46621</v>
      </c>
    </row>
    <row r="176" spans="2:8" ht="75" customHeight="1">
      <c r="B176" s="73"/>
      <c r="C176" s="73"/>
      <c r="D176" s="73"/>
      <c r="E176" s="73"/>
      <c r="F176" s="73"/>
      <c r="G176" s="73"/>
      <c r="H176" s="75"/>
    </row>
    <row r="177" spans="2:8" s="70" customFormat="1" ht="25.2" customHeight="1">
      <c r="B177" s="71">
        <f t="array" aca="1" ref="B177:H177" ca="1">Days+29+DATE(Calendar12Year,Calendar12MonthOption,1)-WEEKDAY(DATE(Calendar12Year,Calendar12MonthOption,1),WeekdayOption)</f>
        <v>46622</v>
      </c>
      <c r="C177" s="71">
        <f ca="1"/>
        <v>46623</v>
      </c>
      <c r="D177" s="71">
        <f ca="1"/>
        <v>46624</v>
      </c>
      <c r="E177" s="71">
        <f ca="1"/>
        <v>46625</v>
      </c>
      <c r="F177" s="71">
        <f ca="1"/>
        <v>46626</v>
      </c>
      <c r="G177" s="71">
        <f ca="1"/>
        <v>46627</v>
      </c>
      <c r="H177" s="74">
        <f ca="1"/>
        <v>46628</v>
      </c>
    </row>
    <row r="178" spans="2:8" ht="75" customHeight="1">
      <c r="B178" s="73"/>
      <c r="C178" s="73"/>
      <c r="D178" s="73"/>
      <c r="E178" s="73"/>
      <c r="F178" s="73"/>
      <c r="G178" s="73"/>
      <c r="H178" s="72"/>
    </row>
    <row r="179" spans="2:8" s="70" customFormat="1" ht="25.2" customHeight="1">
      <c r="B179" s="71">
        <f t="array" aca="1" ref="B179:C179" ca="1">Days+36+DATE(Calendar12Year,Calendar12MonthOption,1)-WEEKDAY(DATE(Calendar12Year,Calendar12MonthOption,1),WeekdayOption)</f>
        <v>46629</v>
      </c>
      <c r="C179" s="71">
        <f ca="1"/>
        <v>46630</v>
      </c>
      <c r="D179" s="171" t="s">
        <v>37</v>
      </c>
      <c r="E179" s="171"/>
      <c r="F179" s="171"/>
      <c r="G179" s="171"/>
      <c r="H179" s="171"/>
    </row>
    <row r="180" spans="2:8" ht="75" customHeight="1">
      <c r="B180" s="69"/>
      <c r="C180" s="69"/>
      <c r="D180" s="172"/>
      <c r="E180" s="172"/>
      <c r="F180" s="172"/>
      <c r="G180" s="172"/>
      <c r="H180" s="172"/>
    </row>
  </sheetData>
  <mergeCells count="24">
    <mergeCell ref="D180:H180"/>
    <mergeCell ref="D149:H149"/>
    <mergeCell ref="D150:H150"/>
    <mergeCell ref="D104:H104"/>
    <mergeCell ref="D90:H90"/>
    <mergeCell ref="D135:H135"/>
    <mergeCell ref="D119:H119"/>
    <mergeCell ref="D134:H134"/>
    <mergeCell ref="D105:H105"/>
    <mergeCell ref="D120:H120"/>
    <mergeCell ref="D179:H179"/>
    <mergeCell ref="D89:H89"/>
    <mergeCell ref="D164:H164"/>
    <mergeCell ref="D14:H14"/>
    <mergeCell ref="D15:H15"/>
    <mergeCell ref="D45:H45"/>
    <mergeCell ref="D60:H60"/>
    <mergeCell ref="D75:H75"/>
    <mergeCell ref="D59:H59"/>
    <mergeCell ref="D74:H74"/>
    <mergeCell ref="D29:H29"/>
    <mergeCell ref="D30:H30"/>
    <mergeCell ref="D44:H44"/>
    <mergeCell ref="D165:H165"/>
  </mergeCells>
  <conditionalFormatting sqref="B4:H4 B6:H6 B8:H8 B10:H10 B12:H12 B14:C14">
    <cfRule type="expression" dxfId="11" priority="12">
      <formula>MONTH(B4)&lt;&gt;Calendar1MonthOption</formula>
    </cfRule>
  </conditionalFormatting>
  <conditionalFormatting sqref="B19:H19 B21:H21 B23:H23 B25:H25 B27:H27 B29:C29">
    <cfRule type="expression" dxfId="10" priority="11">
      <formula>MONTH(B19)&lt;&gt;Calendar2MonthOption</formula>
    </cfRule>
  </conditionalFormatting>
  <conditionalFormatting sqref="B34:H34 B36:H36 B38:H38 B40:H40 B42:H42 B44:C44">
    <cfRule type="expression" dxfId="9" priority="10">
      <formula>MONTH(B34)&lt;&gt;Calendar3MonthOption</formula>
    </cfRule>
  </conditionalFormatting>
  <conditionalFormatting sqref="B49:H49 B51:H51 B53:H53 B55:H55 B57:H57 B59:C59">
    <cfRule type="expression" dxfId="8" priority="9">
      <formula>MONTH(B49)&lt;&gt;Calendar4MonthOption</formula>
    </cfRule>
  </conditionalFormatting>
  <conditionalFormatting sqref="B64:H64 B66:H66 B68:H68 B70:H70 B72:H72 B74:C74">
    <cfRule type="expression" dxfId="7" priority="8">
      <formula>MONTH(B64)&lt;&gt;Calendar5MonthOption</formula>
    </cfRule>
  </conditionalFormatting>
  <conditionalFormatting sqref="B79:H79 B81:H81 B83:H83 B85:H85 B87:H87 B89:C89">
    <cfRule type="expression" dxfId="6" priority="7">
      <formula>MONTH(B79)&lt;&gt;Calendar6MonthOption</formula>
    </cfRule>
  </conditionalFormatting>
  <conditionalFormatting sqref="B94:H94 B96:H96 B98:H98 B100:H100 B102:H102 B104:C104">
    <cfRule type="expression" dxfId="5" priority="6">
      <formula>MONTH(B94)&lt;&gt;Calendar7MonthOption</formula>
    </cfRule>
  </conditionalFormatting>
  <conditionalFormatting sqref="B109:H109 B111:H111 B113:H113 B115:H115 B117:H117 B119:C119">
    <cfRule type="expression" dxfId="4" priority="5">
      <formula>MONTH(B109)&lt;&gt;Calendar8MonthOption</formula>
    </cfRule>
  </conditionalFormatting>
  <conditionalFormatting sqref="B124:H124 B126:H126 B128:H128 B130:H130 B132:H132 B134:C134">
    <cfRule type="expression" dxfId="3" priority="4">
      <formula>MONTH(B124)&lt;&gt;Calendar9MonthOption</formula>
    </cfRule>
  </conditionalFormatting>
  <conditionalFormatting sqref="B139:H139 B141:H141 B143:H143 B145:H145 B147:H147 B149:C149">
    <cfRule type="expression" dxfId="2" priority="3">
      <formula>MONTH(B139)&lt;&gt;Calendar10MonthOption</formula>
    </cfRule>
  </conditionalFormatting>
  <conditionalFormatting sqref="B154:H154 B156:H156 B158:H158 B160:H160 B162:H162 B164:C164">
    <cfRule type="expression" dxfId="1" priority="2">
      <formula>MONTH(B154)&lt;&gt;Calendar11MonthOption</formula>
    </cfRule>
  </conditionalFormatting>
  <conditionalFormatting sqref="B169:H169 B171:H171 B173:H173 B175:H175 B177:H177 B179:C179">
    <cfRule type="expression" dxfId="0" priority="1">
      <formula>MONTH(B169)&lt;&gt;Calendar12MonthOption</formula>
    </cfRule>
  </conditionalFormatting>
  <dataValidations count="25">
    <dataValidation allowBlank="1" showInputMessage="1" showErrorMessage="1" prompt="Calendar month is automatically updated based on the month selected in cell B2" sqref="B17 B32 B47 B62 B77 B92 B107 B122 B137 B152 B167" xr:uid="{34CF17EE-6821-44D8-BC53-B671E7C8A205}"/>
    <dataValidation allowBlank="1" showInputMessage="1" showErrorMessage="1" prompt="Automatically determined weekday. To change weekdays, select a new week start day in cell B168" sqref="C168:H168" xr:uid="{962DCED4-2680-4023-B4A2-EF286BA3F021}"/>
    <dataValidation allowBlank="1" showInputMessage="1" showErrorMessage="1" prompt="Automatically determined weekday. To change weekdays, select a new week start day in cell B153" sqref="C153:H153" xr:uid="{DD74AB6C-7E4C-41A7-9ADC-CB40BF7D5A59}"/>
    <dataValidation allowBlank="1" showInputMessage="1" showErrorMessage="1" prompt="Automatically determined weekday. To change weekdays, select a new week start day in cell B138" sqref="C138:H138" xr:uid="{02B7DE9F-41AF-4CB7-9F08-BA929703AB09}"/>
    <dataValidation allowBlank="1" showInputMessage="1" showErrorMessage="1" prompt="Automatically determined weekday. To change weekdays, select a new week start day in cell B123" sqref="C123:H123" xr:uid="{6652C738-E662-4CE5-883C-E6405D0BF678}"/>
    <dataValidation allowBlank="1" showInputMessage="1" showErrorMessage="1" prompt="Automatically determined weekday. To change weekdays, select a new week start day in cell B108" sqref="C108:H108" xr:uid="{229D251D-C8E5-478B-871D-6ED0DF90048F}"/>
    <dataValidation allowBlank="1" showInputMessage="1" showErrorMessage="1" prompt="Automatically determined weekday. To change weekdays, select a new week start day in cell B93" sqref="C93:H93" xr:uid="{218D9BC8-A1DA-40DC-91FF-29EB3EC8F240}"/>
    <dataValidation allowBlank="1" showInputMessage="1" showErrorMessage="1" prompt="Automatically determined weekday. To change weekdays, select a new week start day in cell B78" sqref="C78:H78" xr:uid="{EB8C5957-FC80-499A-823D-B3A9E25A7277}"/>
    <dataValidation allowBlank="1" showInputMessage="1" showErrorMessage="1" prompt="Automatically determined weekday. To change weekdays, select a new week start day in cell B63" sqref="C63:H63" xr:uid="{BE986DED-B394-4A1C-AD76-129CCAB7877B}"/>
    <dataValidation allowBlank="1" showInputMessage="1" showErrorMessage="1" prompt="Automatically determined weekday. To change weekdays, select a new week start day in cell B48" sqref="C48:H48" xr:uid="{FEF6E2DA-8F06-42CD-B471-A2186BAD7CA7}"/>
    <dataValidation allowBlank="1" showInputMessage="1" showErrorMessage="1" prompt="Automatically determined weekday. To change weekdays, select a new week start day in cell B33" sqref="C33:H33" xr:uid="{30283222-EBBE-448C-8C22-A60618F72911}"/>
    <dataValidation allowBlank="1" showInputMessage="1" showErrorMessage="1" prompt="Automatically determined weekday. To change weekdays, select a new week start day in cell B18" sqref="C18:H18" xr:uid="{4185FD26-42EF-4680-A90E-7E6B3D4B1034}"/>
    <dataValidation allowBlank="1" showInputMessage="1" showErrorMessage="1" sqref="D47:E47 D62:E62 D77:F77 D92:E92 D107:E107 D122:E122 D137:E137 C152:F152 D167:E167" xr:uid="{3D07B207-5A0B-4004-9F81-B2CB38FFE670}"/>
    <dataValidation type="list" errorStyle="warning" allowBlank="1" showInputMessage="1" showErrorMessage="1" error="Select calendar start month from the list. Select CANCEL, press ALT+DOWN ARROW for options, then DOWN ARROW and ENTER to make selection" prompt="Select calendar start month in this cell. Press ALT+DOWN ARROW to open the drop-down list, then ENTER to make the selection" sqref="B2" xr:uid="{00000000-0002-0000-0000-000001000000}">
      <formula1>"January,February,March,April,May,June,July,August,September,October,November,December"</formula1>
    </dataValidation>
    <dataValidation allowBlank="1" showInputMessage="1" showErrorMessage="1" prompt="Automatically determined weekday. To change weekdays, select a new week start day in cell B3" sqref="B168 B33 B48 B63 B78 B93 B108 B123 B138 B153" xr:uid="{00000000-0002-0000-0000-000010000000}"/>
    <dataValidation allowBlank="1" showInputMessage="1" showErrorMessage="1" prompt="Calendar year is automatically updated based on the year selected in cell B1" sqref="H32 H47 H62 H77 H92 H107 H122 H137 H152 H167" xr:uid="{00000000-0002-0000-0000-00000E000000}"/>
    <dataValidation allowBlank="1" showInputMessage="1" prompt="Enter monthly Notes in this cell" sqref="D15:H15" xr:uid="{00000000-0002-0000-0000-00000D000000}"/>
    <dataValidation allowBlank="1" showInputMessage="1" prompt="Enter monthly Notes in cell below" sqref="D14:H14" xr:uid="{00000000-0002-0000-0000-00000C000000}"/>
    <dataValidation allowBlank="1" showInputMessage="1" prompt="Calendar year is automatically updated based on the year selected in cell B1" sqref="H17" xr:uid="{00000000-0002-0000-0000-000007000000}"/>
    <dataValidation allowBlank="1" showInputMessage="1" prompt="Enter daily notes here" sqref="B5" xr:uid="{00000000-0002-0000-0000-000006000000}"/>
    <dataValidation allowBlank="1" showInputMessage="1" prompt="Date" sqref="B4" xr:uid="{00000000-0002-0000-0000-000005000000}"/>
    <dataValidation allowBlank="1" showInputMessage="1" prompt="Automatically determined weekday. To change weekdays, select a new week start day in cell B3" sqref="B18 C3:H3" xr:uid="{00000000-0002-0000-0000-000004000000}"/>
    <dataValidation allowBlank="1" showInputMessage="1" showErrorMessage="1" prompt="Enter year in this cell" sqref="H2" xr:uid="{00000000-0002-0000-0000-000003000000}"/>
    <dataValidation allowBlank="1" showInputMessage="1" prompt="This workbook is a 12-month calendar. Enter starting year in cell H2, then select the starting month in cell B2. The calendar will update automatically for subsequent months" sqref="A2" xr:uid="{00000000-0002-0000-0000-000002000000}"/>
    <dataValidation type="list" errorStyle="warning" allowBlank="1" showInputMessage="1" showErrorMessage="1" error="Select the week start day from the list. Select CANCEL,press ALT+DOWN ARROW for options, then DOWN ARROW and ENTER to make selection" prompt="Select the week start day in this cell. Press ALT+DOWN ARROW to open the drop-down list, then ENTER to make the selection. The calendar will update automatically" sqref="B3" xr:uid="{00000000-0002-0000-0000-000000000000}">
      <formula1>"SUNDAY,MONDAY,TUESDAY,WEDNESDAY,THURSDAY,FRIDAY,SATURDAY"</formula1>
    </dataValidation>
  </dataValidations>
  <printOptions horizontalCentered="1" verticalCentered="1"/>
  <pageMargins left="0.25" right="0.25" top="0.45" bottom="0.45" header="0.5" footer="0.5"/>
  <pageSetup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EDC2-8895-421F-B11A-232F58D0390C}">
  <sheetPr>
    <tabColor theme="4"/>
    <pageSetUpPr fitToPage="1"/>
  </sheetPr>
  <dimension ref="A1:M30"/>
  <sheetViews>
    <sheetView showGridLines="0" topLeftCell="A2" zoomScaleNormal="100" workbookViewId="0">
      <selection activeCell="H11" sqref="H11"/>
    </sheetView>
  </sheetViews>
  <sheetFormatPr defaultColWidth="9.5546875" defaultRowHeight="21" customHeight="1"/>
  <cols>
    <col min="1" max="1" width="3.44140625" style="65" customWidth="1"/>
    <col min="2" max="2" width="13.44140625" style="66" customWidth="1"/>
    <col min="3" max="3" width="38.44140625" style="66" customWidth="1"/>
    <col min="4" max="5" width="23.44140625" style="66" customWidth="1"/>
    <col min="6" max="6" width="13.44140625" style="66" customWidth="1"/>
    <col min="7" max="7" width="16" style="66" customWidth="1"/>
    <col min="8" max="8" width="23.44140625" style="66" customWidth="1"/>
    <col min="9" max="9" width="16" style="66" customWidth="1"/>
    <col min="10" max="10" width="38.44140625" style="66" customWidth="1"/>
    <col min="11" max="11" width="3.44140625" style="66" customWidth="1"/>
    <col min="12" max="12" width="32.21875" style="67" customWidth="1"/>
    <col min="13" max="13" width="3.44140625" style="28" customWidth="1"/>
    <col min="14" max="14" width="3.44140625" style="29" customWidth="1"/>
    <col min="15" max="16384" width="9.5546875" style="29"/>
  </cols>
  <sheetData>
    <row r="1" spans="1:13" ht="19.95" customHeight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7" t="str">
        <f>[1]calculations!M9</f>
        <v>DAIRY TOTAL</v>
      </c>
      <c r="M1" s="28" t="s">
        <v>59</v>
      </c>
    </row>
    <row r="2" spans="1:13" ht="169.95" customHeight="1">
      <c r="A2" s="25"/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3" s="32" customFormat="1" ht="70.2" customHeight="1">
      <c r="B3" s="33" t="s">
        <v>160</v>
      </c>
      <c r="C3" s="34"/>
      <c r="D3" s="35"/>
      <c r="E3" s="35"/>
      <c r="F3" s="35"/>
      <c r="G3" s="35"/>
      <c r="H3" s="35"/>
      <c r="I3" s="35"/>
      <c r="J3" s="35"/>
      <c r="K3" s="35"/>
      <c r="L3" s="36"/>
      <c r="M3" s="37"/>
    </row>
    <row r="4" spans="1:13" s="43" customFormat="1" ht="30" customHeight="1">
      <c r="A4" s="38"/>
      <c r="B4" s="39" t="s">
        <v>61</v>
      </c>
      <c r="C4" s="39" t="s">
        <v>161</v>
      </c>
      <c r="D4" s="39" t="s">
        <v>162</v>
      </c>
      <c r="E4" s="39" t="s">
        <v>64</v>
      </c>
      <c r="F4" s="39" t="s">
        <v>65</v>
      </c>
      <c r="G4" s="39" t="s">
        <v>165</v>
      </c>
      <c r="H4" s="39" t="s">
        <v>67</v>
      </c>
      <c r="I4" s="39" t="s">
        <v>68</v>
      </c>
      <c r="J4" s="39" t="s">
        <v>69</v>
      </c>
      <c r="K4" s="40"/>
      <c r="L4" s="41" t="str">
        <f>[1]calculations!M6</f>
        <v>SEAFOOD TOTAL</v>
      </c>
      <c r="M4" s="42"/>
    </row>
    <row r="5" spans="1:13" s="43" customFormat="1" ht="30" customHeight="1">
      <c r="A5" s="38"/>
      <c r="B5" s="44">
        <v>1</v>
      </c>
      <c r="C5" s="164" t="s">
        <v>166</v>
      </c>
      <c r="D5" s="46" t="s">
        <v>164</v>
      </c>
      <c r="E5" s="46" t="s">
        <v>163</v>
      </c>
      <c r="F5" s="46">
        <v>1</v>
      </c>
      <c r="G5" s="165" t="s">
        <v>174</v>
      </c>
      <c r="H5" s="47" t="s">
        <v>175</v>
      </c>
      <c r="I5" s="48" t="str">
        <f>IFERROR(List12[[#This Row],[QTY]]*List12[[#This Row],[UNIT PRICE]],"")</f>
        <v/>
      </c>
      <c r="J5" s="49" t="s">
        <v>170</v>
      </c>
      <c r="K5" s="40"/>
      <c r="L5" s="50">
        <f>[1]calculations!L6</f>
        <v>109</v>
      </c>
      <c r="M5" s="51"/>
    </row>
    <row r="6" spans="1:13" s="43" customFormat="1" ht="30" customHeight="1">
      <c r="A6" s="38"/>
      <c r="B6" s="44">
        <v>1</v>
      </c>
      <c r="C6" s="45" t="s">
        <v>167</v>
      </c>
      <c r="D6" s="46" t="s">
        <v>164</v>
      </c>
      <c r="E6" s="46" t="s">
        <v>168</v>
      </c>
      <c r="F6" s="46">
        <v>1</v>
      </c>
      <c r="G6" s="46" t="s">
        <v>169</v>
      </c>
      <c r="H6" s="47">
        <v>0</v>
      </c>
      <c r="I6" s="48">
        <f>IFERROR(List12[[#This Row],[QTY]]*List12[[#This Row],[UNIT PRICE]],"")</f>
        <v>0</v>
      </c>
      <c r="J6" s="49" t="s">
        <v>171</v>
      </c>
      <c r="K6" s="40"/>
      <c r="L6" s="52"/>
      <c r="M6" s="42"/>
    </row>
    <row r="7" spans="1:13" s="43" customFormat="1" ht="30" customHeight="1">
      <c r="A7" s="38"/>
      <c r="B7" s="44"/>
      <c r="C7" s="164" t="s">
        <v>172</v>
      </c>
      <c r="D7" s="46" t="s">
        <v>164</v>
      </c>
      <c r="E7" s="46" t="s">
        <v>173</v>
      </c>
      <c r="F7" s="46">
        <v>1</v>
      </c>
      <c r="G7" s="165" t="s">
        <v>174</v>
      </c>
      <c r="H7" s="47" t="s">
        <v>175</v>
      </c>
      <c r="I7" s="48" t="str">
        <f>IFERROR(List12[[#This Row],[QTY]]*List12[[#This Row],[UNIT PRICE]],"")</f>
        <v/>
      </c>
      <c r="J7" s="49" t="s">
        <v>170</v>
      </c>
      <c r="K7" s="40"/>
      <c r="L7" s="53" t="str">
        <f>[1]calculations!M7</f>
        <v>MEAT TOTAL</v>
      </c>
      <c r="M7" s="42"/>
    </row>
    <row r="8" spans="1:13" s="43" customFormat="1" ht="30" customHeight="1">
      <c r="A8" s="38"/>
      <c r="B8" s="44"/>
      <c r="C8" s="45" t="s">
        <v>176</v>
      </c>
      <c r="D8" s="46" t="s">
        <v>164</v>
      </c>
      <c r="E8" s="46" t="s">
        <v>173</v>
      </c>
      <c r="F8" s="46">
        <v>1</v>
      </c>
      <c r="G8" s="165" t="s">
        <v>174</v>
      </c>
      <c r="H8" s="47">
        <v>40</v>
      </c>
      <c r="I8" s="48">
        <f>IFERROR(List12[[#This Row],[QTY]]*List12[[#This Row],[UNIT PRICE]],"")</f>
        <v>40</v>
      </c>
      <c r="J8" s="49"/>
      <c r="K8" s="40"/>
      <c r="L8" s="54">
        <f>[1]calculations!L7</f>
        <v>80</v>
      </c>
      <c r="M8" s="42"/>
    </row>
    <row r="9" spans="1:13" s="43" customFormat="1" ht="30" customHeight="1">
      <c r="A9" s="38"/>
      <c r="B9" s="44"/>
      <c r="C9" s="164" t="s">
        <v>177</v>
      </c>
      <c r="D9" s="46" t="s">
        <v>164</v>
      </c>
      <c r="E9" s="46" t="s">
        <v>173</v>
      </c>
      <c r="F9" s="46">
        <v>1</v>
      </c>
      <c r="G9" s="165" t="s">
        <v>174</v>
      </c>
      <c r="H9" s="47" t="s">
        <v>175</v>
      </c>
      <c r="I9" s="48" t="str">
        <f>IFERROR(List12[[#This Row],[QTY]]*List12[[#This Row],[UNIT PRICE]],"")</f>
        <v/>
      </c>
      <c r="J9" s="49"/>
      <c r="K9" s="40"/>
      <c r="L9" s="52"/>
      <c r="M9" s="42"/>
    </row>
    <row r="10" spans="1:13" s="43" customFormat="1" ht="30" customHeight="1">
      <c r="A10" s="38"/>
      <c r="B10" s="44"/>
      <c r="C10" s="164" t="s">
        <v>178</v>
      </c>
      <c r="D10" s="46" t="s">
        <v>164</v>
      </c>
      <c r="E10" s="46" t="s">
        <v>163</v>
      </c>
      <c r="F10" s="46">
        <v>1</v>
      </c>
      <c r="G10" s="165" t="s">
        <v>174</v>
      </c>
      <c r="H10" s="47">
        <v>12</v>
      </c>
      <c r="I10" s="48">
        <f>IFERROR(List12[[#This Row],[QTY]]*List12[[#This Row],[UNIT PRICE]],"")</f>
        <v>12</v>
      </c>
      <c r="J10" s="49"/>
      <c r="K10" s="40"/>
      <c r="L10" s="55" t="str">
        <f>[1]calculations!M8</f>
        <v>PRODUCE TOTAL</v>
      </c>
      <c r="M10" s="42"/>
    </row>
    <row r="11" spans="1:13" s="43" customFormat="1" ht="30" customHeight="1">
      <c r="A11" s="38"/>
      <c r="B11" s="44"/>
      <c r="C11" s="45" t="s">
        <v>85</v>
      </c>
      <c r="D11" s="46" t="s">
        <v>71</v>
      </c>
      <c r="E11" s="46" t="s">
        <v>72</v>
      </c>
      <c r="F11" s="46">
        <v>2</v>
      </c>
      <c r="G11" s="46" t="s">
        <v>78</v>
      </c>
      <c r="H11" s="47">
        <v>1.99</v>
      </c>
      <c r="I11" s="48">
        <f>IFERROR(List12[[#This Row],[QTY]]*List12[[#This Row],[UNIT PRICE]],"")</f>
        <v>3.98</v>
      </c>
      <c r="J11" s="49"/>
      <c r="K11" s="40"/>
      <c r="L11" s="56">
        <f>[1]calculations!L8</f>
        <v>45</v>
      </c>
      <c r="M11" s="42"/>
    </row>
    <row r="12" spans="1:13" s="43" customFormat="1" ht="30" customHeight="1">
      <c r="A12" s="38"/>
      <c r="B12" s="44"/>
      <c r="C12" s="45" t="s">
        <v>86</v>
      </c>
      <c r="D12" s="46" t="s">
        <v>80</v>
      </c>
      <c r="E12" s="46" t="s">
        <v>72</v>
      </c>
      <c r="F12" s="46">
        <v>1</v>
      </c>
      <c r="G12" s="46" t="s">
        <v>73</v>
      </c>
      <c r="H12" s="47">
        <v>2.29</v>
      </c>
      <c r="I12" s="48">
        <f>IFERROR(List12[[#This Row],[QTY]]*List12[[#This Row],[UNIT PRICE]],"")</f>
        <v>2.29</v>
      </c>
      <c r="J12" s="49"/>
      <c r="K12" s="40"/>
      <c r="L12" s="52"/>
      <c r="M12" s="42"/>
    </row>
    <row r="13" spans="1:13" s="43" customFormat="1" ht="30" customHeight="1">
      <c r="A13" s="38"/>
      <c r="B13" s="44"/>
      <c r="C13" s="45" t="s">
        <v>87</v>
      </c>
      <c r="D13" s="46" t="s">
        <v>71</v>
      </c>
      <c r="E13" s="46" t="s">
        <v>72</v>
      </c>
      <c r="F13" s="46">
        <v>0.5</v>
      </c>
      <c r="G13" s="46" t="s">
        <v>73</v>
      </c>
      <c r="H13" s="47">
        <v>2.25</v>
      </c>
      <c r="I13" s="48">
        <f>IFERROR(List12[[#This Row],[QTY]]*List12[[#This Row],[UNIT PRICE]],"")</f>
        <v>1.125</v>
      </c>
      <c r="J13" s="49" t="s">
        <v>88</v>
      </c>
      <c r="K13" s="40"/>
      <c r="L13" s="57" t="str">
        <f>[1]calculations!M9</f>
        <v>DAIRY TOTAL</v>
      </c>
      <c r="M13" s="42"/>
    </row>
    <row r="14" spans="1:13" s="43" customFormat="1" ht="30" customHeight="1">
      <c r="A14" s="38"/>
      <c r="B14" s="44"/>
      <c r="C14" s="45" t="s">
        <v>89</v>
      </c>
      <c r="D14" s="46" t="s">
        <v>90</v>
      </c>
      <c r="E14" s="46" t="s">
        <v>91</v>
      </c>
      <c r="F14" s="46">
        <v>2</v>
      </c>
      <c r="G14" s="46" t="s">
        <v>92</v>
      </c>
      <c r="H14" s="47">
        <v>3.99</v>
      </c>
      <c r="I14" s="48">
        <f>IFERROR(List12[[#This Row],[QTY]]*List12[[#This Row],[UNIT PRICE]],"")</f>
        <v>7.98</v>
      </c>
      <c r="J14" s="49"/>
      <c r="K14" s="40"/>
      <c r="L14" s="58">
        <f>[1]calculations!L9</f>
        <v>37</v>
      </c>
      <c r="M14" s="42"/>
    </row>
    <row r="15" spans="1:13" s="43" customFormat="1" ht="30" customHeight="1">
      <c r="A15" s="38"/>
      <c r="B15" s="44"/>
      <c r="C15" s="45" t="s">
        <v>93</v>
      </c>
      <c r="D15" s="46" t="s">
        <v>90</v>
      </c>
      <c r="E15" s="46" t="s">
        <v>91</v>
      </c>
      <c r="F15" s="46">
        <v>1</v>
      </c>
      <c r="G15" s="46" t="s">
        <v>73</v>
      </c>
      <c r="H15" s="47">
        <v>9.99</v>
      </c>
      <c r="I15" s="48">
        <f>IFERROR(List12[[#This Row],[QTY]]*List12[[#This Row],[UNIT PRICE]],"")</f>
        <v>9.99</v>
      </c>
      <c r="J15" s="49" t="s">
        <v>94</v>
      </c>
      <c r="K15" s="40"/>
      <c r="L15" s="52"/>
      <c r="M15" s="42"/>
    </row>
    <row r="16" spans="1:13" s="43" customFormat="1" ht="30" customHeight="1">
      <c r="A16" s="38"/>
      <c r="B16" s="44"/>
      <c r="C16" s="45" t="s">
        <v>95</v>
      </c>
      <c r="D16" s="46" t="s">
        <v>90</v>
      </c>
      <c r="E16" s="46" t="s">
        <v>91</v>
      </c>
      <c r="F16" s="46">
        <v>2</v>
      </c>
      <c r="G16" s="46" t="s">
        <v>96</v>
      </c>
      <c r="H16" s="47">
        <v>3.5</v>
      </c>
      <c r="I16" s="48">
        <f>IFERROR(List12[[#This Row],[QTY]]*List12[[#This Row],[UNIT PRICE]],"")</f>
        <v>7</v>
      </c>
      <c r="J16" s="49"/>
      <c r="K16" s="40"/>
      <c r="L16" s="59" t="str">
        <f>[1]calculations!M3</f>
        <v>OTHER TOTAL</v>
      </c>
      <c r="M16" s="42"/>
    </row>
    <row r="17" spans="1:13" s="43" customFormat="1" ht="30" customHeight="1">
      <c r="A17" s="38"/>
      <c r="B17" s="44"/>
      <c r="C17" s="45" t="s">
        <v>97</v>
      </c>
      <c r="D17" s="46" t="s">
        <v>90</v>
      </c>
      <c r="E17" s="46" t="s">
        <v>91</v>
      </c>
      <c r="F17" s="46">
        <v>1</v>
      </c>
      <c r="G17" s="46" t="s">
        <v>98</v>
      </c>
      <c r="H17" s="47">
        <v>3.89</v>
      </c>
      <c r="I17" s="48">
        <f>IFERROR(List12[[#This Row],[QTY]]*List12[[#This Row],[UNIT PRICE]],"")</f>
        <v>3.89</v>
      </c>
      <c r="J17" s="49"/>
      <c r="K17" s="40"/>
      <c r="L17" s="60">
        <f>[1]calculations!L3</f>
        <v>0</v>
      </c>
      <c r="M17" s="42"/>
    </row>
    <row r="18" spans="1:13" s="43" customFormat="1" ht="30" customHeight="1">
      <c r="A18" s="38"/>
      <c r="B18" s="44"/>
      <c r="C18" s="45" t="s">
        <v>99</v>
      </c>
      <c r="D18" s="46" t="s">
        <v>90</v>
      </c>
      <c r="E18" s="46" t="s">
        <v>91</v>
      </c>
      <c r="F18" s="46">
        <v>1</v>
      </c>
      <c r="G18" s="46" t="s">
        <v>100</v>
      </c>
      <c r="H18" s="47">
        <v>2.99</v>
      </c>
      <c r="I18" s="48">
        <f>IFERROR(List12[[#This Row],[QTY]]*List12[[#This Row],[UNIT PRICE]],"")</f>
        <v>2.99</v>
      </c>
      <c r="J18" s="49"/>
      <c r="K18" s="40"/>
      <c r="L18" s="52"/>
      <c r="M18" s="42"/>
    </row>
    <row r="19" spans="1:13" s="43" customFormat="1" ht="30" customHeight="1">
      <c r="A19" s="38"/>
      <c r="B19" s="44"/>
      <c r="C19" s="45" t="s">
        <v>101</v>
      </c>
      <c r="D19" s="46" t="s">
        <v>71</v>
      </c>
      <c r="E19" s="46" t="s">
        <v>91</v>
      </c>
      <c r="F19" s="46">
        <v>1</v>
      </c>
      <c r="G19" s="46" t="s">
        <v>98</v>
      </c>
      <c r="H19" s="47">
        <v>4.99</v>
      </c>
      <c r="I19" s="48">
        <f>IFERROR(List12[[#This Row],[QTY]]*List12[[#This Row],[UNIT PRICE]],"")</f>
        <v>4.99</v>
      </c>
      <c r="J19" s="49" t="s">
        <v>102</v>
      </c>
      <c r="K19" s="40"/>
      <c r="L19" s="61" t="str">
        <f>[1]calculations!M4</f>
        <v>GROCERY TOTAL</v>
      </c>
      <c r="M19" s="51"/>
    </row>
    <row r="20" spans="1:13" s="43" customFormat="1" ht="30" customHeight="1">
      <c r="A20" s="38"/>
      <c r="B20" s="44"/>
      <c r="C20" s="45" t="s">
        <v>103</v>
      </c>
      <c r="D20" s="46" t="s">
        <v>80</v>
      </c>
      <c r="E20" s="46" t="s">
        <v>104</v>
      </c>
      <c r="F20" s="46">
        <v>10</v>
      </c>
      <c r="G20" s="46" t="s">
        <v>73</v>
      </c>
      <c r="H20" s="47">
        <v>7.99</v>
      </c>
      <c r="I20" s="48">
        <f>IFERROR(List12[[#This Row],[QTY]]*List12[[#This Row],[UNIT PRICE]],"")</f>
        <v>79.900000000000006</v>
      </c>
      <c r="J20" s="49" t="s">
        <v>105</v>
      </c>
      <c r="K20" s="40"/>
      <c r="L20" s="62">
        <f>GroceryTotal</f>
        <v>271</v>
      </c>
      <c r="M20" s="51"/>
    </row>
    <row r="21" spans="1:13" s="43" customFormat="1" ht="30" customHeight="1">
      <c r="A21" s="38"/>
      <c r="B21" s="44"/>
      <c r="C21" s="45" t="s">
        <v>106</v>
      </c>
      <c r="D21" s="46" t="s">
        <v>107</v>
      </c>
      <c r="E21" s="46" t="s">
        <v>108</v>
      </c>
      <c r="F21" s="46">
        <v>6</v>
      </c>
      <c r="G21" s="46" t="s">
        <v>73</v>
      </c>
      <c r="H21" s="47">
        <v>8.99</v>
      </c>
      <c r="I21" s="48">
        <f>IFERROR(List12[[#This Row],[QTY]]*List12[[#This Row],[UNIT PRICE]],"")</f>
        <v>53.94</v>
      </c>
      <c r="J21" s="49"/>
      <c r="K21" s="40"/>
      <c r="L21" s="63"/>
      <c r="M21" s="64"/>
    </row>
    <row r="22" spans="1:13" s="43" customFormat="1" ht="30" customHeight="1">
      <c r="A22" s="38"/>
      <c r="B22" s="44"/>
      <c r="C22" s="45" t="s">
        <v>109</v>
      </c>
      <c r="D22" s="46" t="s">
        <v>107</v>
      </c>
      <c r="E22" s="46" t="s">
        <v>108</v>
      </c>
      <c r="F22" s="46">
        <v>5</v>
      </c>
      <c r="G22" s="46" t="s">
        <v>73</v>
      </c>
      <c r="H22" s="47">
        <v>10.99</v>
      </c>
      <c r="I22" s="48">
        <f>IFERROR(List12[[#This Row],[QTY]]*List12[[#This Row],[UNIT PRICE]],"")</f>
        <v>54.95</v>
      </c>
      <c r="J22" s="49"/>
      <c r="K22" s="40"/>
      <c r="L22" s="63"/>
      <c r="M22" s="64"/>
    </row>
    <row r="23" spans="1:13" s="43" customFormat="1" ht="30" customHeight="1">
      <c r="A23" s="3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63"/>
      <c r="M23" s="64"/>
    </row>
    <row r="24" spans="1:13" s="43" customFormat="1" ht="30" customHeight="1">
      <c r="A24" s="3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63"/>
      <c r="M24" s="64"/>
    </row>
    <row r="25" spans="1:13" s="43" customFormat="1" ht="30" customHeight="1">
      <c r="A25" s="38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63"/>
      <c r="M25" s="64"/>
    </row>
    <row r="26" spans="1:13" s="43" customFormat="1" ht="30" customHeight="1">
      <c r="A26" s="38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63"/>
      <c r="M26" s="64"/>
    </row>
    <row r="27" spans="1:13" s="43" customFormat="1" ht="30" customHeight="1">
      <c r="A27" s="38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63"/>
      <c r="M27" s="64"/>
    </row>
    <row r="28" spans="1:13" s="43" customFormat="1" ht="30" customHeight="1">
      <c r="A28" s="38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63"/>
      <c r="M28" s="64"/>
    </row>
    <row r="29" spans="1:13" s="43" customFormat="1" ht="30" customHeight="1">
      <c r="A29" s="38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63"/>
      <c r="M29" s="64"/>
    </row>
    <row r="30" spans="1:13" s="43" customFormat="1" ht="30" customHeight="1">
      <c r="A30" s="38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63"/>
      <c r="M30" s="64"/>
    </row>
  </sheetData>
  <dataValidations count="17">
    <dataValidation allowBlank="1" showInputMessage="1" showErrorMessage="1" prompt="Total for all grocery items is calculated in the cell below" sqref="L19" xr:uid="{6C3A2A73-425F-4AEF-819A-2668EC20C5A7}"/>
    <dataValidation allowBlank="1" showInputMessage="1" showErrorMessage="1" prompt="Price subtotal for other items not included in the first four categories is automatically summed up in the cell below" sqref="L16" xr:uid="{A7985690-8AC1-4DC4-9064-6D1B47F1C818}"/>
    <dataValidation allowBlank="1" showInputMessage="1" showErrorMessage="1" prompt="Category with the fourth highest price subtotal automatically appears here. Price subtotal is in below cell." sqref="L13" xr:uid="{78DCD55E-25C1-4296-A847-ED2561A79979}"/>
    <dataValidation allowBlank="1" showInputMessage="1" showErrorMessage="1" prompt="Category with the third highest price subtotal automatically appears here. Price subtotal is in below cell." sqref="L10" xr:uid="{FC046129-C253-400B-A26C-FCD42E65B5E2}"/>
    <dataValidation allowBlank="1" showInputMessage="1" showErrorMessage="1" prompt="Category with the second highest price subtotal automatically appears here. Price subtotal is in below cell." sqref="L7" xr:uid="{D5FD8F6D-00B9-46DA-8ADA-FEC48C6989A8}"/>
    <dataValidation allowBlank="1" showInputMessage="1" showErrorMessage="1" prompt="Category with the highest price subtotal automatically appears here. Price subtotal is in below cell." sqref="L4" xr:uid="{059735D7-1490-4C75-AA11-473D02A1BB79}"/>
    <dataValidation allowBlank="1" showInputMessage="1" showErrorMessage="1" prompt="Use this worksheet to create a grocery list. Enter grocery details in the table starting in cell B4. Category totals are automatically updated in column L._x000a__x000a_To insert or delete rows, please use the Insert Table Rows or Delete Table Rows function." sqref="A1" xr:uid="{229A6F2A-BC72-4F0F-B04A-0B9F63E0B306}"/>
    <dataValidation allowBlank="1" showInputMessage="1" showErrorMessage="1" prompt="Title of this worksheet is in this cell" sqref="B3" xr:uid="{E5EA8D71-D346-43D5-8B69-5D57358D15F7}"/>
    <dataValidation allowBlank="1" showInputMessage="1" showErrorMessage="1" prompt="Enter Comment in this column under this heading" sqref="J4" xr:uid="{E7B01364-B8BE-4232-BA8C-F1C8F85C53BC}"/>
    <dataValidation allowBlank="1" showInputMessage="1" showErrorMessage="1" prompt="Total is automatically calculated in this column under this heading" sqref="I4" xr:uid="{38440519-D9D3-4705-B810-DD98DAA83DA7}"/>
    <dataValidation allowBlank="1" showInputMessage="1" showErrorMessage="1" prompt="Enter Unit Price in this column under this heading" sqref="H4" xr:uid="{21B3CCE2-21DD-478F-AC9F-26A45A672687}"/>
    <dataValidation allowBlank="1" showInputMessage="1" showErrorMessage="1" prompt="Enter Unit in this column under this heading" sqref="G4" xr:uid="{4DCD62ED-5D32-435C-B16F-04370290DDDB}"/>
    <dataValidation allowBlank="1" showInputMessage="1" showErrorMessage="1" prompt="Enter Quantity in this column under this heading" sqref="F4" xr:uid="{647B5B9E-8893-4DB5-AD5B-24178C348F9E}"/>
    <dataValidation allowBlank="1" showInputMessage="1" showErrorMessage="1" prompt="Enter Category in this column under this heading" sqref="E4" xr:uid="{A58BBDF0-5C15-4BBA-AF96-BF0A0FC84BC8}"/>
    <dataValidation allowBlank="1" showInputMessage="1" showErrorMessage="1" prompt="Enter Store type in this column under this heading" sqref="D4" xr:uid="{11A84F9D-51DE-4C89-83A4-1B18FC3B7393}"/>
    <dataValidation allowBlank="1" showInputMessage="1" showErrorMessage="1" prompt="Enter Item in this column under this heading" sqref="C4" xr:uid="{750ACDC2-CFFC-4F33-AF5D-12ECFFA52428}"/>
    <dataValidation allowBlank="1" showInputMessage="1" showErrorMessage="1" prompt="Enter a number greater than 0 in this column under this heading to mark item as bought" sqref="B4" xr:uid="{ED80131F-C796-457E-B582-A671EB899E4E}"/>
  </dataValidations>
  <printOptions horizontalCentered="1"/>
  <pageMargins left="0.3" right="0.3" top="0.5" bottom="0.5" header="0.3" footer="0.3"/>
  <pageSetup scale="41" fitToHeight="0" orientation="portrait" r:id="rId1"/>
  <headerFooter differentFirst="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6A151E0-87A2-4CBF-B0D4-5502F4A08D20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B5:B22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F33B-701F-4922-A8D2-EEA9CF404924}">
  <sheetPr codeName="Sheet1"/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BCDE0691-11B6-43C3-8C56-DDDD157220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B5BB5A-1DC5-454E-9A76-D1953A07C0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6F897E-6068-4288-AC0C-A107FBBC2A4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TM03986594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72</vt:i4>
      </vt:variant>
    </vt:vector>
  </HeadingPairs>
  <TitlesOfParts>
    <vt:vector size="84" baseType="lpstr">
      <vt:lpstr>Weekly Plan</vt:lpstr>
      <vt:lpstr>Routine</vt:lpstr>
      <vt:lpstr>Incomes-Expenditures</vt:lpstr>
      <vt:lpstr>Meals</vt:lpstr>
      <vt:lpstr>Cooking Recipes</vt:lpstr>
      <vt:lpstr>Food Nutrients</vt:lpstr>
      <vt:lpstr>Health</vt:lpstr>
      <vt:lpstr>Activities</vt:lpstr>
      <vt:lpstr>Learning</vt:lpstr>
      <vt:lpstr>Calendar</vt:lpstr>
      <vt:lpstr>IG Saves</vt:lpstr>
      <vt:lpstr>Sheet1</vt:lpstr>
      <vt:lpstr>Calendar10Month</vt:lpstr>
      <vt:lpstr>Calendar10Year</vt:lpstr>
      <vt:lpstr>Calendar11Month</vt:lpstr>
      <vt:lpstr>Calendar11Year</vt:lpstr>
      <vt:lpstr>Calendar12Month</vt:lpstr>
      <vt:lpstr>Calendar12Year</vt:lpstr>
      <vt:lpstr>Calendar1Month</vt:lpstr>
      <vt:lpstr>Calendar1Year</vt:lpstr>
      <vt:lpstr>Calendar2Month</vt:lpstr>
      <vt:lpstr>Calendar2Year</vt:lpstr>
      <vt:lpstr>Calendar3Month</vt:lpstr>
      <vt:lpstr>Calendar3Year</vt:lpstr>
      <vt:lpstr>Calendar4Month</vt:lpstr>
      <vt:lpstr>Calendar4Year</vt:lpstr>
      <vt:lpstr>Calendar5Month</vt:lpstr>
      <vt:lpstr>Calendar5Year</vt:lpstr>
      <vt:lpstr>Calendar6Month</vt:lpstr>
      <vt:lpstr>Calendar6Year</vt:lpstr>
      <vt:lpstr>Calendar7Month</vt:lpstr>
      <vt:lpstr>Calendar7Year</vt:lpstr>
      <vt:lpstr>Calendar8Month</vt:lpstr>
      <vt:lpstr>Calendar8Year</vt:lpstr>
      <vt:lpstr>Calendar9Month</vt:lpstr>
      <vt:lpstr>Calendar9Year</vt:lpstr>
      <vt:lpstr>ColumnTitleRegion1..H12.1</vt:lpstr>
      <vt:lpstr>ColumnTitleRegion10..H54.1</vt:lpstr>
      <vt:lpstr>ColumnTitleRegion11..C56.1</vt:lpstr>
      <vt:lpstr>ColumnTitleRegion12..D56.1</vt:lpstr>
      <vt:lpstr>ColumnTitleRegion13..H68.1</vt:lpstr>
      <vt:lpstr>ColumnTitleRegion14..C70.1</vt:lpstr>
      <vt:lpstr>ColumnTitleRegion15..D70.1</vt:lpstr>
      <vt:lpstr>ColumnTitleRegion16..H82.1</vt:lpstr>
      <vt:lpstr>ColumnTitleRegion17..C84.1</vt:lpstr>
      <vt:lpstr>ColumnTitleRegion18..D84.1</vt:lpstr>
      <vt:lpstr>ColumnTitleRegion19..H96.1</vt:lpstr>
      <vt:lpstr>ColumnTitleRegion2..C14.1</vt:lpstr>
      <vt:lpstr>ColumnTitleRegion20..C98.1</vt:lpstr>
      <vt:lpstr>ColumnTitleRegion21..D98.1</vt:lpstr>
      <vt:lpstr>ColumnTitleRegion22..H110.1</vt:lpstr>
      <vt:lpstr>ColumnTitleRegion23..C112.1</vt:lpstr>
      <vt:lpstr>ColumnTitleRegion24..D112.1</vt:lpstr>
      <vt:lpstr>ColumnTitleRegion25..H124.1</vt:lpstr>
      <vt:lpstr>ColumnTitleRegion26..C126.1</vt:lpstr>
      <vt:lpstr>ColumnTitleRegion27..D126.1</vt:lpstr>
      <vt:lpstr>ColumnTitleRegion28..H138.1</vt:lpstr>
      <vt:lpstr>ColumnTitleRegion29..C140.1</vt:lpstr>
      <vt:lpstr>ColumnTitleRegion3..D14.1</vt:lpstr>
      <vt:lpstr>ColumnTitleRegion30..D140.1</vt:lpstr>
      <vt:lpstr>ColumnTitleRegion31..H152.1</vt:lpstr>
      <vt:lpstr>ColumnTitleRegion32..C154.1</vt:lpstr>
      <vt:lpstr>ColumnTitleRegion33..D154.1</vt:lpstr>
      <vt:lpstr>ColumnTitleRegion34..H166.1</vt:lpstr>
      <vt:lpstr>ColumnTitleRegion35..C168.1</vt:lpstr>
      <vt:lpstr>ColumnTitleRegion36..D168.1</vt:lpstr>
      <vt:lpstr>ColumnTitleRegion4..H26.1</vt:lpstr>
      <vt:lpstr>ColumnTitleRegion5..C28.1</vt:lpstr>
      <vt:lpstr>ColumnTitleRegion6..D28.1</vt:lpstr>
      <vt:lpstr>ColumnTitleRegion7..H40.1</vt:lpstr>
      <vt:lpstr>ColumnTitleRegion8..C42.1</vt:lpstr>
      <vt:lpstr>ColumnTitleRegion9..D42.1</vt:lpstr>
      <vt:lpstr>Calendar!Print_Area</vt:lpstr>
      <vt:lpstr>Activities!Print_Titles</vt:lpstr>
      <vt:lpstr>'Cooking Recipes'!Print_Titles</vt:lpstr>
      <vt:lpstr>'Food Nutrients'!Print_Titles</vt:lpstr>
      <vt:lpstr>Health!Print_Titles</vt:lpstr>
      <vt:lpstr>'IG Saves'!Print_Titles</vt:lpstr>
      <vt:lpstr>Learning!Print_Titles</vt:lpstr>
      <vt:lpstr>Routine!Print_Titles</vt:lpstr>
      <vt:lpstr>RowTitleRegion1..J1</vt:lpstr>
      <vt:lpstr>RowTitleRegion2..C33</vt:lpstr>
      <vt:lpstr>TitleRegion1..N31.1</vt:lpstr>
      <vt:lpstr>WeekStart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dcterms:created xsi:type="dcterms:W3CDTF">2022-06-14T04:53:34Z</dcterms:created>
  <dcterms:modified xsi:type="dcterms:W3CDTF">2026-10-25T21:23:16Z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