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g\Downloads\"/>
    </mc:Choice>
  </mc:AlternateContent>
  <xr:revisionPtr revIDLastSave="0" documentId="8_{10FDC1E9-8897-4959-B79C-4AB2398C0342}" xr6:coauthVersionLast="47" xr6:coauthVersionMax="47" xr10:uidLastSave="{00000000-0000-0000-0000-000000000000}"/>
  <bookViews>
    <workbookView xWindow="-108" yWindow="-108" windowWidth="23256" windowHeight="12456" xr2:uid="{CB557ABE-790B-44F1-9949-4723377B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1" l="1"/>
  <c r="O11" i="1" l="1"/>
  <c r="P11" i="1"/>
  <c r="Q11" i="1"/>
  <c r="R11" i="1"/>
  <c r="N11" i="1"/>
  <c r="F9" i="1" s="1"/>
  <c r="G9" i="1" s="1"/>
  <c r="H9" i="1" s="1"/>
  <c r="I9" i="1" s="1"/>
  <c r="O10" i="1"/>
  <c r="P10" i="1"/>
  <c r="Q10" i="1"/>
  <c r="R10" i="1"/>
  <c r="N10" i="1"/>
  <c r="F3" i="1" s="1"/>
  <c r="O9" i="1"/>
  <c r="P9" i="1"/>
  <c r="Q9" i="1"/>
  <c r="R9" i="1"/>
  <c r="N9" i="1"/>
  <c r="F2" i="1" s="1"/>
  <c r="F7" i="1"/>
  <c r="C22" i="1"/>
  <c r="F11" i="1"/>
  <c r="G11" i="1"/>
  <c r="H11" i="1"/>
  <c r="I11" i="1" s="1"/>
  <c r="F10" i="1"/>
  <c r="G8" i="1"/>
  <c r="H8" i="1" s="1"/>
  <c r="I8" i="1" s="1"/>
  <c r="F8" i="1"/>
  <c r="G7" i="1"/>
  <c r="H7" i="1" s="1"/>
  <c r="G6" i="1"/>
  <c r="H6" i="1" s="1"/>
  <c r="I6" i="1" s="1"/>
  <c r="F6" i="1"/>
  <c r="D12" i="1"/>
  <c r="E12" i="1"/>
  <c r="C12" i="1"/>
  <c r="E10" i="1"/>
  <c r="D10" i="1"/>
  <c r="C10" i="1"/>
  <c r="E4" i="1"/>
  <c r="D4" i="1"/>
  <c r="C4" i="1"/>
  <c r="G3" i="1" l="1"/>
  <c r="H3" i="1" s="1"/>
  <c r="I3" i="1" s="1"/>
  <c r="F4" i="1"/>
  <c r="G2" i="1"/>
  <c r="H2" i="1" s="1"/>
  <c r="I2" i="1" s="1"/>
  <c r="F12" i="1"/>
  <c r="F14" i="1" s="1"/>
  <c r="H10" i="1"/>
  <c r="I7" i="1"/>
  <c r="I10" i="1" s="1"/>
  <c r="G10" i="1"/>
  <c r="G4" i="1" l="1"/>
  <c r="G12" i="1" s="1"/>
  <c r="G14" i="1" s="1"/>
  <c r="I4" i="1" l="1"/>
  <c r="I12" i="1" s="1"/>
  <c r="I14" i="1" s="1"/>
  <c r="C17" i="1" s="1"/>
  <c r="C18" i="1" s="1"/>
  <c r="H4" i="1"/>
  <c r="H12" i="1" s="1"/>
  <c r="H14" i="1" s="1"/>
  <c r="C15" i="1" s="1"/>
  <c r="C20" i="1" l="1"/>
  <c r="C23" i="1" s="1"/>
  <c r="C25" i="1" s="1"/>
  <c r="M17" i="1" s="1"/>
</calcChain>
</file>

<file path=xl/sharedStrings.xml><?xml version="1.0" encoding="utf-8"?>
<sst xmlns="http://schemas.openxmlformats.org/spreadsheetml/2006/main" count="54" uniqueCount="40">
  <si>
    <t xml:space="preserve">Total Revenue </t>
  </si>
  <si>
    <t xml:space="preserve">EBIT </t>
  </si>
  <si>
    <t>EBIT(1-t)</t>
  </si>
  <si>
    <t>Tax rate(t)</t>
  </si>
  <si>
    <t>D&amp;A</t>
  </si>
  <si>
    <t>Capital expenditures</t>
  </si>
  <si>
    <t xml:space="preserve"> Free Cash flows (FCF)</t>
  </si>
  <si>
    <t>Discount rate (r)</t>
  </si>
  <si>
    <t>PV of FCFs</t>
  </si>
  <si>
    <t xml:space="preserve"> Sum of Present Values</t>
  </si>
  <si>
    <t>Long term growth rate</t>
  </si>
  <si>
    <t>Terminal value in 2028</t>
  </si>
  <si>
    <t>Stage 2: PV of Terminal Value</t>
  </si>
  <si>
    <t xml:space="preserve">Enterprise value </t>
  </si>
  <si>
    <t>Net debt- for FY 23</t>
  </si>
  <si>
    <t>CASH for FY 23</t>
  </si>
  <si>
    <t>FY 21</t>
  </si>
  <si>
    <t>FY 22</t>
  </si>
  <si>
    <t>FY 23</t>
  </si>
  <si>
    <t>FY 24</t>
  </si>
  <si>
    <t>FY 25</t>
  </si>
  <si>
    <t>FY 26</t>
  </si>
  <si>
    <t>FY 27</t>
  </si>
  <si>
    <t>Accounts Receivable</t>
  </si>
  <si>
    <t>Accounts Payable</t>
  </si>
  <si>
    <t>Inventory</t>
  </si>
  <si>
    <t>CHANGE IN NWC</t>
  </si>
  <si>
    <t>Best Case</t>
  </si>
  <si>
    <t>Base Case</t>
  </si>
  <si>
    <t>Bad Case</t>
  </si>
  <si>
    <t>Revenue Growth</t>
  </si>
  <si>
    <t>In Crores</t>
  </si>
  <si>
    <t>EBIT</t>
  </si>
  <si>
    <t>%Change</t>
  </si>
  <si>
    <t>Equity Value</t>
  </si>
  <si>
    <t>Shares Outstanding</t>
  </si>
  <si>
    <t>Share Price</t>
  </si>
  <si>
    <t>Sensitivity Analysis</t>
  </si>
  <si>
    <t>Intrinsic Value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</si>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</sst>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3" borderId="0" xfId="0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10" fontId="0" fillId="0" borderId="2" xfId="0" applyNumberFormat="1" applyBorder="1"/>
    <xf numFmtId="164" fontId="0" fillId="4" borderId="2" xfId="0" applyNumberFormat="1" applyFill="1" applyBorder="1"/>
    <xf numFmtId="164" fontId="1" fillId="0" borderId="0" xfId="0" applyNumberFormat="1" applyFont="1"/>
    <xf numFmtId="3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BC98-C71B-4618-9C82-3FBCCAF780AC}">
  <dimension ref="B1:S36"/>
  <sheetViews>
    <sheetView tabSelected="1" topLeftCell="A11" workbookViewId="0">
      <selection activeCell="N25" sqref="N25"/>
    </sheetView>
  </sheetViews>
  <sheetFormatPr defaultRowHeight="14.4" x14ac:dyDescent="0.3"/>
  <cols>
    <col min="2" max="2" width="26.109375" bestFit="1" customWidth="1"/>
    <col min="3" max="3" width="13.33203125" bestFit="1" customWidth="1"/>
    <col min="4" max="4" width="11.88671875" bestFit="1" customWidth="1"/>
    <col min="5" max="5" width="17.88671875" bestFit="1" customWidth="1"/>
    <col min="6" max="9" width="11.88671875" bestFit="1" customWidth="1"/>
    <col min="13" max="13" width="16.109375" bestFit="1" customWidth="1"/>
    <col min="14" max="14" width="12" bestFit="1" customWidth="1"/>
  </cols>
  <sheetData>
    <row r="1" spans="2:18" x14ac:dyDescent="0.3">
      <c r="B1" s="5" t="s">
        <v>31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2:18" x14ac:dyDescent="0.3">
      <c r="B2" s="3" t="s">
        <v>0</v>
      </c>
      <c r="C2" s="7">
        <v>71396</v>
      </c>
      <c r="D2" s="7">
        <v>120749</v>
      </c>
      <c r="E2" s="7">
        <v>133259</v>
      </c>
      <c r="F2" s="7">
        <f>E$2*(1+N$9)</f>
        <v>149250.08000000002</v>
      </c>
      <c r="G2" s="7">
        <f t="shared" ref="G2:I2" si="0">F$2*(1+O$9)</f>
        <v>165667.58880000003</v>
      </c>
      <c r="H2" s="7">
        <f t="shared" si="0"/>
        <v>187204.375344</v>
      </c>
      <c r="I2" s="7">
        <f t="shared" si="0"/>
        <v>213412.98789216002</v>
      </c>
    </row>
    <row r="3" spans="2:18" x14ac:dyDescent="0.3">
      <c r="B3" s="5" t="s">
        <v>1</v>
      </c>
      <c r="C3" s="7">
        <v>12582</v>
      </c>
      <c r="D3" s="7">
        <v>25437</v>
      </c>
      <c r="E3" s="7">
        <v>6968</v>
      </c>
      <c r="F3" s="7">
        <f>E$3*(1+N$10)</f>
        <v>7804.1600000000008</v>
      </c>
      <c r="G3" s="7">
        <f t="shared" ref="G3:I3" si="1">F$3*(1+O$10)</f>
        <v>8974.7839999999997</v>
      </c>
      <c r="H3" s="7">
        <f t="shared" si="1"/>
        <v>10231.253760000001</v>
      </c>
      <c r="I3" s="7">
        <f t="shared" si="1"/>
        <v>11561.3167488</v>
      </c>
    </row>
    <row r="4" spans="2:18" s="2" customFormat="1" x14ac:dyDescent="0.3">
      <c r="B4" s="3" t="s">
        <v>2</v>
      </c>
      <c r="C4" s="11">
        <f>C$3*(1-C$5)</f>
        <v>8244.9845999999998</v>
      </c>
      <c r="D4" s="11">
        <f t="shared" ref="D4:I4" si="2">D$3*(1-D$5)</f>
        <v>17905.104299999999</v>
      </c>
      <c r="E4" s="11">
        <f t="shared" si="2"/>
        <v>5099.8792000000003</v>
      </c>
      <c r="F4" s="11">
        <f t="shared" si="2"/>
        <v>5462.9120000000003</v>
      </c>
      <c r="G4" s="11">
        <f t="shared" si="2"/>
        <v>6282.3487999999998</v>
      </c>
      <c r="H4" s="11">
        <f t="shared" si="2"/>
        <v>7161.8776320000006</v>
      </c>
      <c r="I4" s="11">
        <f t="shared" si="2"/>
        <v>8092.921724159999</v>
      </c>
      <c r="K4" s="2" t="s">
        <v>27</v>
      </c>
    </row>
    <row r="5" spans="2:18" x14ac:dyDescent="0.3">
      <c r="B5" s="1" t="s">
        <v>3</v>
      </c>
      <c r="C5" s="10">
        <v>0.34470000000000001</v>
      </c>
      <c r="D5" s="10">
        <v>0.29609999999999997</v>
      </c>
      <c r="E5" s="10">
        <v>0.2681</v>
      </c>
      <c r="F5" s="9">
        <v>0.3</v>
      </c>
      <c r="G5" s="9">
        <v>0.3</v>
      </c>
      <c r="H5" s="9">
        <v>0.3</v>
      </c>
      <c r="I5" s="9">
        <v>0.3</v>
      </c>
    </row>
    <row r="6" spans="2:18" x14ac:dyDescent="0.3">
      <c r="B6" s="3" t="s">
        <v>23</v>
      </c>
      <c r="C6" s="7">
        <v>3333</v>
      </c>
      <c r="D6" s="7">
        <v>6146</v>
      </c>
      <c r="E6" s="7">
        <v>6000</v>
      </c>
      <c r="F6" s="7">
        <f>E$6*(1.02)</f>
        <v>6120</v>
      </c>
      <c r="G6" s="7">
        <f t="shared" ref="G6:I6" si="3">F$6*(1.02)</f>
        <v>6242.4000000000005</v>
      </c>
      <c r="H6" s="7">
        <f t="shared" si="3"/>
        <v>6367.2480000000005</v>
      </c>
      <c r="I6" s="7">
        <f t="shared" si="3"/>
        <v>6494.5929600000009</v>
      </c>
    </row>
    <row r="7" spans="2:18" x14ac:dyDescent="0.3">
      <c r="B7" s="3" t="s">
        <v>25</v>
      </c>
      <c r="C7" s="7">
        <v>10692</v>
      </c>
      <c r="D7" s="7">
        <v>21028</v>
      </c>
      <c r="E7" s="7">
        <v>19517</v>
      </c>
      <c r="F7" s="7">
        <f>E$7*(1.05)</f>
        <v>20492.850000000002</v>
      </c>
      <c r="G7" s="7">
        <f t="shared" ref="G7:I7" si="4">F$7*(1.05)</f>
        <v>21517.492500000004</v>
      </c>
      <c r="H7" s="7">
        <f t="shared" si="4"/>
        <v>22593.367125000004</v>
      </c>
      <c r="I7" s="7">
        <f t="shared" si="4"/>
        <v>23723.035481250005</v>
      </c>
    </row>
    <row r="8" spans="2:18" x14ac:dyDescent="0.3">
      <c r="B8" s="4" t="s">
        <v>24</v>
      </c>
      <c r="C8" s="7">
        <v>12150</v>
      </c>
      <c r="D8" s="7">
        <v>24328</v>
      </c>
      <c r="E8" s="7">
        <v>30705</v>
      </c>
      <c r="F8" s="7">
        <f>E$8*(1.02)</f>
        <v>31319.100000000002</v>
      </c>
      <c r="G8" s="7">
        <f t="shared" ref="G8:I8" si="5">F$8*(1.02)</f>
        <v>31945.482000000004</v>
      </c>
      <c r="H8" s="7">
        <f t="shared" si="5"/>
        <v>32584.391640000005</v>
      </c>
      <c r="I8" s="7">
        <f t="shared" si="5"/>
        <v>33236.079472800004</v>
      </c>
    </row>
    <row r="9" spans="2:18" x14ac:dyDescent="0.3">
      <c r="B9" s="3" t="s">
        <v>4</v>
      </c>
      <c r="C9" s="7">
        <v>3781</v>
      </c>
      <c r="D9" s="7">
        <v>4511</v>
      </c>
      <c r="E9" s="7">
        <v>4952</v>
      </c>
      <c r="F9" s="7">
        <f>E$9*(1+N$11)</f>
        <v>5694.7999999999993</v>
      </c>
      <c r="G9" s="7">
        <f t="shared" ref="G9:I9" si="6">F$9*(1+O$11)</f>
        <v>6492.0720000000001</v>
      </c>
      <c r="H9" s="7">
        <f t="shared" si="6"/>
        <v>7336.0413599999993</v>
      </c>
      <c r="I9" s="7">
        <f t="shared" si="6"/>
        <v>8509.8079775999977</v>
      </c>
      <c r="M9" t="s">
        <v>30</v>
      </c>
      <c r="N9" s="9">
        <f>CHOOSE(MATCH($K$4,{"Best Case","Base Case","Bad Case"},0),F$24,F$25,F$26)</f>
        <v>0.12</v>
      </c>
      <c r="O9" s="9">
        <f>CHOOSE(MATCH($K$4,{"Best Case","Base Case","Bad Case"},0),G$24,G$25,G$26)</f>
        <v>0.11</v>
      </c>
      <c r="P9" s="9">
        <f>CHOOSE(MATCH($K$4,{"Best Case","Base Case","Bad Case"},0),H$24,H$25,H$26)</f>
        <v>0.13</v>
      </c>
      <c r="Q9" s="9">
        <f>CHOOSE(MATCH($K$4,{"Best Case","Base Case","Bad Case"},0),I$24,I$25,I$26)</f>
        <v>0.14000000000000001</v>
      </c>
      <c r="R9" s="9">
        <f>CHOOSE(MATCH($K$4,{"Best Case","Base Case","Bad Case"},0),J$24,J$25,J$26)</f>
        <v>0.1</v>
      </c>
    </row>
    <row r="10" spans="2:18" x14ac:dyDescent="0.3">
      <c r="B10" s="4" t="s">
        <v>26</v>
      </c>
      <c r="C10" s="7">
        <f>C6+C7-C8</f>
        <v>1875</v>
      </c>
      <c r="D10" s="7">
        <f>(D6+D7-D8)-$C10</f>
        <v>971</v>
      </c>
      <c r="E10" s="7">
        <f>(E6+E7-E8)-$C10</f>
        <v>-7063</v>
      </c>
      <c r="F10" s="7">
        <f t="shared" ref="F10:I10" si="7">(F6+F7-F8)-$C10</f>
        <v>-6581.25</v>
      </c>
      <c r="G10" s="7">
        <f t="shared" si="7"/>
        <v>-6060.5894999999982</v>
      </c>
      <c r="H10" s="7">
        <f t="shared" si="7"/>
        <v>-5498.7765150000014</v>
      </c>
      <c r="I10" s="7">
        <f t="shared" si="7"/>
        <v>-4893.4510315499974</v>
      </c>
      <c r="M10" t="s">
        <v>32</v>
      </c>
      <c r="N10" s="9">
        <f>CHOOSE(MATCH($K$4,{"Best Case","Base Case","Bad Case"},0),F$29,F$30,F$31)</f>
        <v>0.12</v>
      </c>
      <c r="O10" s="9">
        <f>CHOOSE(MATCH($K$4,{"Best Case","Base Case","Bad Case"},0),G$29,G$30,G$31)</f>
        <v>0.15</v>
      </c>
      <c r="P10" s="9">
        <f>CHOOSE(MATCH($K$4,{"Best Case","Base Case","Bad Case"},0),H$29,H$30,H$31)</f>
        <v>0.14000000000000001</v>
      </c>
      <c r="Q10" s="9">
        <f>CHOOSE(MATCH($K$4,{"Best Case","Base Case","Bad Case"},0),I$29,I$30,I$31)</f>
        <v>0.13</v>
      </c>
      <c r="R10" s="9">
        <f>CHOOSE(MATCH($K$4,{"Best Case","Base Case","Bad Case"},0),J$29,J$30,J$31)</f>
        <v>0.12</v>
      </c>
    </row>
    <row r="11" spans="2:18" x14ac:dyDescent="0.3">
      <c r="B11" s="3" t="s">
        <v>5</v>
      </c>
      <c r="C11" s="7">
        <v>28914</v>
      </c>
      <c r="D11" s="7">
        <v>12459</v>
      </c>
      <c r="E11" s="7">
        <v>10271</v>
      </c>
      <c r="F11" s="7">
        <f>E$11*(1+0.06)</f>
        <v>10887.26</v>
      </c>
      <c r="G11" s="7">
        <f t="shared" ref="G11:I11" si="8">F$11*(1+0.06)</f>
        <v>11540.4956</v>
      </c>
      <c r="H11" s="7">
        <f t="shared" si="8"/>
        <v>12232.925336</v>
      </c>
      <c r="I11" s="7">
        <f t="shared" si="8"/>
        <v>12966.90085616</v>
      </c>
      <c r="M11" t="s">
        <v>4</v>
      </c>
      <c r="N11" s="9">
        <f>CHOOSE(MATCH($K$4,{"Best Case","Base Case","Bad Case"},0),F$34,F$35,F$36)</f>
        <v>0.15</v>
      </c>
      <c r="O11" s="9">
        <f>CHOOSE(MATCH($K$4,{"Best Case","Base Case","Bad Case"},0),G$34,G$35,G$36)</f>
        <v>0.14000000000000001</v>
      </c>
      <c r="P11" s="9">
        <f>CHOOSE(MATCH($K$4,{"Best Case","Base Case","Bad Case"},0),H$34,H$35,H$36)</f>
        <v>0.13</v>
      </c>
      <c r="Q11" s="9">
        <f>CHOOSE(MATCH($K$4,{"Best Case","Base Case","Bad Case"},0),I$34,I$35,I$36)</f>
        <v>0.16</v>
      </c>
      <c r="R11" s="9">
        <f>CHOOSE(MATCH($K$4,{"Best Case","Base Case","Bad Case"},0),J$34,J$35,J$36)</f>
        <v>0.12</v>
      </c>
    </row>
    <row r="12" spans="2:18" x14ac:dyDescent="0.3">
      <c r="B12" s="4" t="s">
        <v>6</v>
      </c>
      <c r="C12" s="7">
        <f>C$4+C$9-C$11-C$10</f>
        <v>-18763.0154</v>
      </c>
      <c r="D12" s="7">
        <f t="shared" ref="D12:I12" si="9">D$4+D$9-D$11-D$10</f>
        <v>8986.1042999999991</v>
      </c>
      <c r="E12" s="7">
        <f t="shared" si="9"/>
        <v>6843.8791999999994</v>
      </c>
      <c r="F12" s="7">
        <f t="shared" si="9"/>
        <v>6851.7019999999993</v>
      </c>
      <c r="G12" s="7">
        <f t="shared" si="9"/>
        <v>7294.5146999999979</v>
      </c>
      <c r="H12" s="7">
        <f t="shared" si="9"/>
        <v>7763.7701710000001</v>
      </c>
      <c r="I12" s="7">
        <f t="shared" si="9"/>
        <v>8529.2798771499929</v>
      </c>
    </row>
    <row r="13" spans="2:18" x14ac:dyDescent="0.3">
      <c r="B13" s="3" t="s">
        <v>7</v>
      </c>
      <c r="C13" s="9">
        <v>7.2900000000000006E-2</v>
      </c>
      <c r="D13" s="9">
        <v>7.2900000000000006E-2</v>
      </c>
      <c r="E13" s="9">
        <v>7.2900000000000006E-2</v>
      </c>
      <c r="F13" s="9">
        <v>7.2900000000000006E-2</v>
      </c>
      <c r="G13" s="9">
        <v>7.2900000000000006E-2</v>
      </c>
      <c r="H13" s="9">
        <v>7.2900000000000006E-2</v>
      </c>
      <c r="I13" s="9">
        <v>7.2900000000000006E-2</v>
      </c>
    </row>
    <row r="14" spans="2:18" x14ac:dyDescent="0.3">
      <c r="B14" s="4" t="s">
        <v>8</v>
      </c>
      <c r="F14" s="7">
        <f>F$12/(1+$C$13)^1</f>
        <v>6386.1515518687665</v>
      </c>
      <c r="G14" s="7">
        <f>G$12/(1+$C$13)^2</f>
        <v>6336.9154591679544</v>
      </c>
      <c r="H14" s="7">
        <f>H$12/(1+$C$13)^3</f>
        <v>6286.2975651057741</v>
      </c>
      <c r="I14" s="7">
        <f>I$12/(1+$C$13)^4</f>
        <v>6436.879576784926</v>
      </c>
    </row>
    <row r="15" spans="2:18" x14ac:dyDescent="0.3">
      <c r="B15" s="3" t="s">
        <v>9</v>
      </c>
      <c r="C15" s="7">
        <f>SUM(F14+G14+H14+I14)</f>
        <v>25446.244152927422</v>
      </c>
    </row>
    <row r="16" spans="2:18" x14ac:dyDescent="0.3">
      <c r="B16" s="4" t="s">
        <v>10</v>
      </c>
      <c r="C16" s="8">
        <v>0.04</v>
      </c>
      <c r="M16" t="s">
        <v>37</v>
      </c>
    </row>
    <row r="17" spans="2:19" x14ac:dyDescent="0.3">
      <c r="B17" s="3" t="s">
        <v>11</v>
      </c>
      <c r="C17" s="7">
        <f>$I$14*(1+$C$16)/($C$13-$C$16)</f>
        <v>203475.82856706149</v>
      </c>
      <c r="M17" s="12">
        <f>C25</f>
        <v>749.44440266750496</v>
      </c>
      <c r="N17" s="9">
        <v>6.9900000000000004E-2</v>
      </c>
      <c r="O17" s="9">
        <v>7.0900000000000005E-2</v>
      </c>
      <c r="P17" s="9">
        <v>7.1900000000000006E-2</v>
      </c>
      <c r="Q17" s="9">
        <v>7.2900000000000006E-2</v>
      </c>
      <c r="R17" s="9">
        <v>7.3899999999999993E-2</v>
      </c>
      <c r="S17" s="9">
        <v>7.4899999999999994E-2</v>
      </c>
    </row>
    <row r="18" spans="2:19" x14ac:dyDescent="0.3">
      <c r="B18" s="4" t="s">
        <v>12</v>
      </c>
      <c r="C18" s="7">
        <f>$C$17/(1+$C$13)^5</f>
        <v>143125.36234663776</v>
      </c>
      <c r="M18" s="9">
        <v>2.5000000000000001E-2</v>
      </c>
      <c r="N18">
        <f t="dataTable" ref="N18:S23" dt2D="1" dtr="1" r1="E13" r2="C16"/>
        <v>556.94369151077501</v>
      </c>
      <c r="O18">
        <v>556.94369151077501</v>
      </c>
      <c r="P18">
        <v>556.94369151077501</v>
      </c>
      <c r="Q18">
        <v>556.94369151077501</v>
      </c>
      <c r="R18">
        <v>556.94369151077501</v>
      </c>
      <c r="S18">
        <v>556.94369151077501</v>
      </c>
    </row>
    <row r="19" spans="2:19" x14ac:dyDescent="0.3">
      <c r="B19" s="3"/>
      <c r="E19" t="s">
        <v>23</v>
      </c>
      <c r="F19" s="8">
        <v>0.02</v>
      </c>
      <c r="M19" s="8">
        <v>0.03</v>
      </c>
      <c r="N19">
        <v>606.15327501548688</v>
      </c>
      <c r="O19">
        <v>606.15327501548688</v>
      </c>
      <c r="P19">
        <v>606.15327501548688</v>
      </c>
      <c r="Q19">
        <v>606.15327501548688</v>
      </c>
      <c r="R19">
        <v>606.15327501548688</v>
      </c>
      <c r="S19">
        <v>606.15327501548688</v>
      </c>
    </row>
    <row r="20" spans="2:19" x14ac:dyDescent="0.3">
      <c r="B20" s="4" t="s">
        <v>13</v>
      </c>
      <c r="C20" s="7">
        <f>C15+C18</f>
        <v>168571.60649956518</v>
      </c>
      <c r="E20" t="s">
        <v>24</v>
      </c>
      <c r="F20" s="8">
        <v>0.02</v>
      </c>
      <c r="M20" s="9">
        <v>3.5000000000000003E-2</v>
      </c>
      <c r="N20">
        <v>668.34691749241813</v>
      </c>
      <c r="O20">
        <v>668.34691749241813</v>
      </c>
      <c r="P20">
        <v>668.34691749241813</v>
      </c>
      <c r="Q20">
        <v>668.34691749241813</v>
      </c>
      <c r="R20">
        <v>668.34691749241813</v>
      </c>
      <c r="S20">
        <v>668.34691749241813</v>
      </c>
    </row>
    <row r="21" spans="2:19" x14ac:dyDescent="0.3">
      <c r="B21" s="3" t="s">
        <v>14</v>
      </c>
      <c r="C21" s="7">
        <v>7274</v>
      </c>
      <c r="E21" t="s">
        <v>25</v>
      </c>
      <c r="F21" s="8">
        <v>0.05</v>
      </c>
      <c r="M21" s="8">
        <v>0.04</v>
      </c>
      <c r="N21">
        <v>749.44440266750496</v>
      </c>
      <c r="O21">
        <v>749.44440266750496</v>
      </c>
      <c r="P21">
        <v>749.44440266750496</v>
      </c>
      <c r="Q21">
        <v>749.44440266750496</v>
      </c>
      <c r="R21">
        <v>749.44440266750496</v>
      </c>
      <c r="S21">
        <v>749.44440266750496</v>
      </c>
    </row>
    <row r="22" spans="2:19" x14ac:dyDescent="0.3">
      <c r="B22" s="4" t="s">
        <v>15</v>
      </c>
      <c r="C22" s="7">
        <f>13668+5048</f>
        <v>18716</v>
      </c>
      <c r="E22" s="6" t="s">
        <v>33</v>
      </c>
      <c r="M22" s="9">
        <v>4.4999999999999998E-2</v>
      </c>
      <c r="N22">
        <v>859.60908683007767</v>
      </c>
      <c r="O22">
        <v>859.60908683007767</v>
      </c>
      <c r="P22">
        <v>859.60908683007767</v>
      </c>
      <c r="Q22">
        <v>859.60908683007767</v>
      </c>
      <c r="R22">
        <v>859.60908683007767</v>
      </c>
      <c r="S22">
        <v>859.60908683007767</v>
      </c>
    </row>
    <row r="23" spans="2:19" x14ac:dyDescent="0.3">
      <c r="B23" s="3" t="s">
        <v>34</v>
      </c>
      <c r="C23" s="7">
        <f>C20-C21+C22</f>
        <v>180013.60649956518</v>
      </c>
      <c r="E23" t="s">
        <v>30</v>
      </c>
      <c r="M23" s="8">
        <v>0.05</v>
      </c>
      <c r="N23">
        <v>1017.8806199719404</v>
      </c>
      <c r="O23">
        <v>1017.8806199719404</v>
      </c>
      <c r="P23">
        <v>1017.8806199719404</v>
      </c>
      <c r="Q23">
        <v>1017.8806199719404</v>
      </c>
      <c r="R23">
        <v>1017.8806199719404</v>
      </c>
      <c r="S23">
        <v>1017.8806199719404</v>
      </c>
    </row>
    <row r="24" spans="2:19" x14ac:dyDescent="0.3">
      <c r="B24" s="1" t="s">
        <v>35</v>
      </c>
      <c r="C24" s="13">
        <v>2401960784</v>
      </c>
      <c r="E24" t="s">
        <v>27</v>
      </c>
      <c r="F24" s="8">
        <v>0.12</v>
      </c>
      <c r="G24" s="8">
        <v>0.11</v>
      </c>
      <c r="H24" s="8">
        <v>0.13</v>
      </c>
      <c r="I24" s="8">
        <v>0.14000000000000001</v>
      </c>
      <c r="J24" s="8">
        <v>0.1</v>
      </c>
    </row>
    <row r="25" spans="2:19" x14ac:dyDescent="0.3">
      <c r="B25" t="s">
        <v>36</v>
      </c>
      <c r="C25" s="12">
        <f>($C$23*POWER(10,7))/C24</f>
        <v>749.44440266750496</v>
      </c>
      <c r="E25" t="s">
        <v>28</v>
      </c>
      <c r="F25" s="8">
        <v>0.09</v>
      </c>
      <c r="G25" s="8">
        <v>0.09</v>
      </c>
      <c r="H25" s="8">
        <v>0.09</v>
      </c>
      <c r="I25" s="8">
        <v>0.09</v>
      </c>
      <c r="J25" s="8">
        <v>0.09</v>
      </c>
      <c r="M25" t="s">
        <v>38</v>
      </c>
      <c r="N25">
        <f>IF(($C$26-$C$25)&gt;0,0,1)</f>
        <v>0</v>
      </c>
    </row>
    <row r="26" spans="2:19" x14ac:dyDescent="0.3">
      <c r="B26" t="s">
        <v>39</v>
      </c>
      <c r="C26">
        <v>818</v>
      </c>
      <c r="E26" t="s">
        <v>29</v>
      </c>
      <c r="F26" s="8">
        <v>7.0000000000000007E-2</v>
      </c>
      <c r="G26" s="8">
        <v>7.0000000000000007E-2</v>
      </c>
      <c r="H26" s="8">
        <v>7.0000000000000007E-2</v>
      </c>
      <c r="I26" s="8">
        <v>7.0000000000000007E-2</v>
      </c>
      <c r="J26" s="8">
        <v>7.0000000000000007E-2</v>
      </c>
    </row>
    <row r="27" spans="2:19" x14ac:dyDescent="0.3">
      <c r="F27" s="8"/>
      <c r="G27" s="8"/>
      <c r="H27" s="8"/>
      <c r="I27" s="8"/>
      <c r="J27" s="8"/>
    </row>
    <row r="28" spans="2:19" x14ac:dyDescent="0.3">
      <c r="E28" t="s">
        <v>32</v>
      </c>
    </row>
    <row r="29" spans="2:19" x14ac:dyDescent="0.3">
      <c r="E29" t="s">
        <v>27</v>
      </c>
      <c r="F29" s="8">
        <v>0.12</v>
      </c>
      <c r="G29" s="8">
        <v>0.15</v>
      </c>
      <c r="H29" s="8">
        <v>0.14000000000000001</v>
      </c>
      <c r="I29" s="8">
        <v>0.13</v>
      </c>
      <c r="J29" s="8">
        <v>0.12</v>
      </c>
    </row>
    <row r="30" spans="2:19" x14ac:dyDescent="0.3">
      <c r="E30" t="s">
        <v>28</v>
      </c>
      <c r="F30" s="8">
        <v>0.11</v>
      </c>
      <c r="G30" s="8">
        <v>0.1</v>
      </c>
      <c r="H30" s="8">
        <v>0.09</v>
      </c>
      <c r="I30" s="8">
        <v>0.08</v>
      </c>
      <c r="J30" s="8">
        <v>0.12</v>
      </c>
    </row>
    <row r="31" spans="2:19" x14ac:dyDescent="0.3">
      <c r="E31" t="s">
        <v>29</v>
      </c>
      <c r="F31" s="8">
        <v>0.08</v>
      </c>
      <c r="G31" s="8">
        <v>0.08</v>
      </c>
      <c r="H31" s="8">
        <v>0.08</v>
      </c>
      <c r="I31" s="8">
        <v>0.08</v>
      </c>
      <c r="J31" s="8">
        <v>0.08</v>
      </c>
    </row>
    <row r="33" spans="5:10" x14ac:dyDescent="0.3">
      <c r="E33" t="s">
        <v>4</v>
      </c>
    </row>
    <row r="34" spans="5:10" x14ac:dyDescent="0.3">
      <c r="E34" t="s">
        <v>27</v>
      </c>
      <c r="F34" s="8">
        <v>0.15</v>
      </c>
      <c r="G34" s="8">
        <v>0.14000000000000001</v>
      </c>
      <c r="H34" s="8">
        <v>0.13</v>
      </c>
      <c r="I34" s="8">
        <v>0.16</v>
      </c>
      <c r="J34" s="8">
        <v>0.12</v>
      </c>
    </row>
    <row r="35" spans="5:10" x14ac:dyDescent="0.3">
      <c r="E35" t="s">
        <v>28</v>
      </c>
      <c r="F35" s="8">
        <v>0.12</v>
      </c>
      <c r="G35" s="8">
        <v>0.1</v>
      </c>
      <c r="H35" s="8">
        <v>0.09</v>
      </c>
      <c r="I35" s="8">
        <v>0.13</v>
      </c>
      <c r="J35" s="8">
        <v>0.12</v>
      </c>
    </row>
    <row r="36" spans="5:10" x14ac:dyDescent="0.3">
      <c r="E36" t="s">
        <v>29</v>
      </c>
      <c r="F36" s="8">
        <v>0.08</v>
      </c>
      <c r="G36" s="8">
        <v>0.05</v>
      </c>
      <c r="H36" s="8">
        <v>7.0000000000000007E-2</v>
      </c>
      <c r="I36" s="8">
        <v>0.08</v>
      </c>
      <c r="J36" s="8">
        <v>0.1</v>
      </c>
    </row>
  </sheetData>
  <phoneticPr fontId="2" type="noConversion"/>
  <conditionalFormatting sqref="M17:S23">
    <cfRule type="colorScale" priority="3">
      <colorScale>
        <cfvo type="min"/>
        <cfvo type="max"/>
        <color rgb="FFFFEF9C"/>
        <color rgb="FF63BE7B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:R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K4" xr:uid="{1B4FD8F5-BCB6-497D-8C5E-891AD1903741}">
      <formula1>"Best Case, Base Case, Bad Case"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 Narayanan</dc:creator>
  <cp:lastModifiedBy>Varun Ram Narayanan</cp:lastModifiedBy>
  <dcterms:created xsi:type="dcterms:W3CDTF">2024-01-02T18:36:36Z</dcterms:created>
  <dcterms:modified xsi:type="dcterms:W3CDTF">2024-01-31T17:10:15Z</dcterms:modified>
</cp:coreProperties>
</file>